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Tom\Christ the King Fellowship\Presbytery of Geneva\"/>
    </mc:Choice>
  </mc:AlternateContent>
  <xr:revisionPtr revIDLastSave="0" documentId="8_{3678EB85-D624-4A12-99B5-0F6133529BDE}" xr6:coauthVersionLast="47" xr6:coauthVersionMax="47" xr10:uidLastSave="{00000000-0000-0000-0000-000000000000}"/>
  <bookViews>
    <workbookView xWindow="-120" yWindow="-120" windowWidth="29040" windowHeight="15720" activeTab="5" xr2:uid="{8F149FD2-3B55-41D9-86AC-08477E7085AC}"/>
  </bookViews>
  <sheets>
    <sheet name="Summary Update" sheetId="1" r:id="rId1"/>
    <sheet name="Balance Sheet" sheetId="2" r:id="rId2"/>
    <sheet name="P &amp; L Operations, Mission" sheetId="3" r:id="rId3"/>
    <sheet name="Camp YTD" sheetId="4" r:id="rId4"/>
    <sheet name="Class Report" sheetId="5" r:id="rId5"/>
    <sheet name="Reserve Funds (Net Assets)" sheetId="6" r:id="rId6"/>
  </sheets>
  <externalReferences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8" i="6" l="1"/>
  <c r="K80" i="6" s="1"/>
  <c r="K85" i="6" s="1"/>
  <c r="J78" i="6"/>
  <c r="G78" i="6"/>
  <c r="G80" i="6" s="1"/>
  <c r="E78" i="6"/>
  <c r="C78" i="6"/>
  <c r="P76" i="6"/>
  <c r="O76" i="6"/>
  <c r="D76" i="6"/>
  <c r="O75" i="6"/>
  <c r="P70" i="6"/>
  <c r="D70" i="6"/>
  <c r="O69" i="6"/>
  <c r="O68" i="6"/>
  <c r="D65" i="6"/>
  <c r="P64" i="6"/>
  <c r="O64" i="6"/>
  <c r="O62" i="6"/>
  <c r="D61" i="6"/>
  <c r="D78" i="6" s="1"/>
  <c r="O60" i="6"/>
  <c r="O59" i="6"/>
  <c r="O57" i="6"/>
  <c r="O56" i="6"/>
  <c r="O55" i="6"/>
  <c r="O54" i="6"/>
  <c r="O52" i="6"/>
  <c r="O51" i="6"/>
  <c r="O50" i="6"/>
  <c r="O49" i="6"/>
  <c r="P62" i="6" s="1"/>
  <c r="O48" i="6"/>
  <c r="D40" i="6"/>
  <c r="O39" i="6"/>
  <c r="O38" i="6"/>
  <c r="O37" i="6"/>
  <c r="L35" i="6"/>
  <c r="L78" i="6" s="1"/>
  <c r="H35" i="6"/>
  <c r="O35" i="6" s="1"/>
  <c r="O31" i="6"/>
  <c r="O30" i="6"/>
  <c r="O25" i="6"/>
  <c r="P41" i="6" s="1"/>
  <c r="Q65" i="6" s="1"/>
  <c r="O24" i="6"/>
  <c r="D19" i="6"/>
  <c r="O18" i="6"/>
  <c r="O17" i="6"/>
  <c r="O14" i="6"/>
  <c r="O13" i="6"/>
  <c r="O12" i="6"/>
  <c r="Q11" i="6"/>
  <c r="O11" i="6"/>
  <c r="O9" i="6"/>
  <c r="O8" i="6"/>
  <c r="P19" i="6" s="1"/>
  <c r="F289" i="5"/>
  <c r="E289" i="5"/>
  <c r="E290" i="5" s="1"/>
  <c r="D289" i="5"/>
  <c r="C289" i="5"/>
  <c r="B289" i="5"/>
  <c r="G289" i="5" s="1"/>
  <c r="G288" i="5"/>
  <c r="E288" i="5"/>
  <c r="G287" i="5"/>
  <c r="F285" i="5"/>
  <c r="E285" i="5"/>
  <c r="D285" i="5"/>
  <c r="B285" i="5"/>
  <c r="G284" i="5"/>
  <c r="C284" i="5"/>
  <c r="C283" i="5"/>
  <c r="G283" i="5" s="1"/>
  <c r="C282" i="5"/>
  <c r="C285" i="5" s="1"/>
  <c r="C281" i="5"/>
  <c r="G281" i="5" s="1"/>
  <c r="B280" i="5"/>
  <c r="C279" i="5"/>
  <c r="G279" i="5" s="1"/>
  <c r="G278" i="5"/>
  <c r="C278" i="5"/>
  <c r="C277" i="5"/>
  <c r="G277" i="5" s="1"/>
  <c r="F276" i="5"/>
  <c r="F280" i="5" s="1"/>
  <c r="F286" i="5" s="1"/>
  <c r="F290" i="5" s="1"/>
  <c r="E276" i="5"/>
  <c r="E280" i="5" s="1"/>
  <c r="E286" i="5" s="1"/>
  <c r="D276" i="5"/>
  <c r="D280" i="5" s="1"/>
  <c r="D286" i="5" s="1"/>
  <c r="D290" i="5" s="1"/>
  <c r="B276" i="5"/>
  <c r="C275" i="5"/>
  <c r="G275" i="5" s="1"/>
  <c r="G274" i="5"/>
  <c r="C274" i="5"/>
  <c r="C276" i="5" s="1"/>
  <c r="G273" i="5"/>
  <c r="C272" i="5"/>
  <c r="G271" i="5"/>
  <c r="C271" i="5"/>
  <c r="G270" i="5"/>
  <c r="C269" i="5"/>
  <c r="G269" i="5" s="1"/>
  <c r="C268" i="5"/>
  <c r="G268" i="5" s="1"/>
  <c r="G267" i="5"/>
  <c r="G266" i="5"/>
  <c r="B266" i="5"/>
  <c r="F263" i="5"/>
  <c r="D263" i="5"/>
  <c r="C263" i="5"/>
  <c r="E262" i="5"/>
  <c r="E263" i="5" s="1"/>
  <c r="B262" i="5"/>
  <c r="G262" i="5" s="1"/>
  <c r="E261" i="5"/>
  <c r="B261" i="5"/>
  <c r="G260" i="5"/>
  <c r="E259" i="5"/>
  <c r="G259" i="5" s="1"/>
  <c r="F258" i="5"/>
  <c r="F264" i="5" s="1"/>
  <c r="F291" i="5" s="1"/>
  <c r="C257" i="5"/>
  <c r="G257" i="5" s="1"/>
  <c r="G256" i="5"/>
  <c r="C256" i="5"/>
  <c r="C255" i="5"/>
  <c r="G255" i="5" s="1"/>
  <c r="C254" i="5"/>
  <c r="G254" i="5" s="1"/>
  <c r="C253" i="5"/>
  <c r="G253" i="5" s="1"/>
  <c r="F252" i="5"/>
  <c r="E252" i="5"/>
  <c r="E258" i="5" s="1"/>
  <c r="E264" i="5" s="1"/>
  <c r="E291" i="5" s="1"/>
  <c r="D252" i="5"/>
  <c r="D258" i="5" s="1"/>
  <c r="D264" i="5" s="1"/>
  <c r="B252" i="5"/>
  <c r="C251" i="5"/>
  <c r="G251" i="5" s="1"/>
  <c r="G250" i="5"/>
  <c r="C250" i="5"/>
  <c r="C249" i="5"/>
  <c r="G249" i="5" s="1"/>
  <c r="C248" i="5"/>
  <c r="G248" i="5" s="1"/>
  <c r="C247" i="5"/>
  <c r="G247" i="5" s="1"/>
  <c r="G246" i="5"/>
  <c r="G245" i="5"/>
  <c r="C245" i="5"/>
  <c r="G244" i="5"/>
  <c r="E240" i="5"/>
  <c r="D240" i="5"/>
  <c r="C240" i="5"/>
  <c r="G240" i="5" s="1"/>
  <c r="B240" i="5"/>
  <c r="F239" i="5"/>
  <c r="G239" i="5" s="1"/>
  <c r="F238" i="5"/>
  <c r="F240" i="5" s="1"/>
  <c r="G237" i="5"/>
  <c r="B234" i="5"/>
  <c r="F233" i="5"/>
  <c r="D233" i="5"/>
  <c r="C233" i="5"/>
  <c r="C234" i="5" s="1"/>
  <c r="B233" i="5"/>
  <c r="E232" i="5"/>
  <c r="G231" i="5"/>
  <c r="F230" i="5"/>
  <c r="F234" i="5" s="1"/>
  <c r="D230" i="5"/>
  <c r="D234" i="5" s="1"/>
  <c r="D235" i="5" s="1"/>
  <c r="C230" i="5"/>
  <c r="B230" i="5"/>
  <c r="E229" i="5"/>
  <c r="G229" i="5" s="1"/>
  <c r="E228" i="5"/>
  <c r="G228" i="5" s="1"/>
  <c r="G227" i="5"/>
  <c r="E227" i="5"/>
  <c r="G226" i="5"/>
  <c r="G225" i="5"/>
  <c r="E225" i="5"/>
  <c r="G224" i="5"/>
  <c r="E224" i="5"/>
  <c r="G223" i="5"/>
  <c r="E223" i="5"/>
  <c r="G222" i="5"/>
  <c r="E222" i="5"/>
  <c r="G221" i="5"/>
  <c r="D220" i="5"/>
  <c r="C220" i="5"/>
  <c r="C235" i="5" s="1"/>
  <c r="B220" i="5"/>
  <c r="B235" i="5" s="1"/>
  <c r="E219" i="5"/>
  <c r="G219" i="5" s="1"/>
  <c r="E218" i="5"/>
  <c r="G218" i="5" s="1"/>
  <c r="E217" i="5"/>
  <c r="G217" i="5" s="1"/>
  <c r="E216" i="5"/>
  <c r="G216" i="5" s="1"/>
  <c r="E215" i="5"/>
  <c r="G215" i="5" s="1"/>
  <c r="F214" i="5"/>
  <c r="F220" i="5" s="1"/>
  <c r="D214" i="5"/>
  <c r="C214" i="5"/>
  <c r="B214" i="5"/>
  <c r="E213" i="5"/>
  <c r="G212" i="5"/>
  <c r="G211" i="5"/>
  <c r="E211" i="5"/>
  <c r="E210" i="5"/>
  <c r="G210" i="5" s="1"/>
  <c r="G209" i="5"/>
  <c r="E209" i="5"/>
  <c r="E208" i="5"/>
  <c r="G208" i="5" s="1"/>
  <c r="G207" i="5"/>
  <c r="E207" i="5"/>
  <c r="G206" i="5"/>
  <c r="G205" i="5"/>
  <c r="E204" i="5"/>
  <c r="F203" i="5"/>
  <c r="F204" i="5" s="1"/>
  <c r="E203" i="5"/>
  <c r="C203" i="5"/>
  <c r="C204" i="5" s="1"/>
  <c r="B203" i="5"/>
  <c r="B204" i="5" s="1"/>
  <c r="G202" i="5"/>
  <c r="D202" i="5"/>
  <c r="D201" i="5"/>
  <c r="G201" i="5" s="1"/>
  <c r="G200" i="5"/>
  <c r="D200" i="5"/>
  <c r="G199" i="5"/>
  <c r="D198" i="5"/>
  <c r="G198" i="5" s="1"/>
  <c r="E197" i="5"/>
  <c r="D197" i="5"/>
  <c r="G196" i="5"/>
  <c r="F194" i="5"/>
  <c r="D194" i="5"/>
  <c r="C194" i="5"/>
  <c r="B194" i="5"/>
  <c r="G194" i="5" s="1"/>
  <c r="E193" i="5"/>
  <c r="G193" i="5" s="1"/>
  <c r="E192" i="5"/>
  <c r="E194" i="5" s="1"/>
  <c r="G191" i="5"/>
  <c r="F190" i="5"/>
  <c r="F195" i="5" s="1"/>
  <c r="D190" i="5"/>
  <c r="C190" i="5"/>
  <c r="B190" i="5"/>
  <c r="G189" i="5"/>
  <c r="E189" i="5"/>
  <c r="E188" i="5"/>
  <c r="G188" i="5" s="1"/>
  <c r="G187" i="5"/>
  <c r="E187" i="5"/>
  <c r="E186" i="5"/>
  <c r="G186" i="5" s="1"/>
  <c r="G185" i="5"/>
  <c r="E185" i="5"/>
  <c r="E184" i="5"/>
  <c r="G184" i="5" s="1"/>
  <c r="G183" i="5"/>
  <c r="F182" i="5"/>
  <c r="D182" i="5"/>
  <c r="C182" i="5"/>
  <c r="B182" i="5"/>
  <c r="E181" i="5"/>
  <c r="G181" i="5" s="1"/>
  <c r="E180" i="5"/>
  <c r="G180" i="5" s="1"/>
  <c r="G179" i="5"/>
  <c r="E179" i="5"/>
  <c r="E178" i="5"/>
  <c r="G177" i="5"/>
  <c r="D176" i="5"/>
  <c r="D195" i="5" s="1"/>
  <c r="F175" i="5"/>
  <c r="F176" i="5" s="1"/>
  <c r="E175" i="5"/>
  <c r="E176" i="5" s="1"/>
  <c r="D175" i="5"/>
  <c r="C175" i="5"/>
  <c r="C176" i="5" s="1"/>
  <c r="B175" i="5"/>
  <c r="B176" i="5" s="1"/>
  <c r="G174" i="5"/>
  <c r="E174" i="5"/>
  <c r="G173" i="5"/>
  <c r="E173" i="5"/>
  <c r="G172" i="5"/>
  <c r="E172" i="5"/>
  <c r="G171" i="5"/>
  <c r="E171" i="5"/>
  <c r="G170" i="5"/>
  <c r="E170" i="5"/>
  <c r="G169" i="5"/>
  <c r="E169" i="5"/>
  <c r="G168" i="5"/>
  <c r="E168" i="5"/>
  <c r="G167" i="5"/>
  <c r="G166" i="5"/>
  <c r="G165" i="5"/>
  <c r="G164" i="5"/>
  <c r="F161" i="5"/>
  <c r="E161" i="5"/>
  <c r="E162" i="5" s="1"/>
  <c r="D161" i="5"/>
  <c r="C161" i="5"/>
  <c r="G160" i="5"/>
  <c r="B160" i="5"/>
  <c r="B159" i="5"/>
  <c r="G159" i="5" s="1"/>
  <c r="G158" i="5"/>
  <c r="B158" i="5"/>
  <c r="B157" i="5"/>
  <c r="G157" i="5" s="1"/>
  <c r="G156" i="5"/>
  <c r="B156" i="5"/>
  <c r="B155" i="5"/>
  <c r="G155" i="5" s="1"/>
  <c r="G154" i="5"/>
  <c r="B154" i="5"/>
  <c r="B153" i="5"/>
  <c r="G153" i="5" s="1"/>
  <c r="G152" i="5"/>
  <c r="B152" i="5"/>
  <c r="B151" i="5"/>
  <c r="G151" i="5" s="1"/>
  <c r="G150" i="5"/>
  <c r="F149" i="5"/>
  <c r="E149" i="5"/>
  <c r="D149" i="5"/>
  <c r="C149" i="5"/>
  <c r="B149" i="5"/>
  <c r="G149" i="5" s="1"/>
  <c r="B148" i="5"/>
  <c r="G148" i="5" s="1"/>
  <c r="B147" i="5"/>
  <c r="G147" i="5" s="1"/>
  <c r="G146" i="5"/>
  <c r="B146" i="5"/>
  <c r="B145" i="5"/>
  <c r="G145" i="5" s="1"/>
  <c r="B144" i="5"/>
  <c r="G144" i="5" s="1"/>
  <c r="G143" i="5"/>
  <c r="F142" i="5"/>
  <c r="E142" i="5"/>
  <c r="D142" i="5"/>
  <c r="C142" i="5"/>
  <c r="G141" i="5"/>
  <c r="B141" i="5"/>
  <c r="B140" i="5"/>
  <c r="G140" i="5" s="1"/>
  <c r="G139" i="5"/>
  <c r="B139" i="5"/>
  <c r="G138" i="5"/>
  <c r="F137" i="5"/>
  <c r="E137" i="5"/>
  <c r="D137" i="5"/>
  <c r="D162" i="5" s="1"/>
  <c r="C137" i="5"/>
  <c r="C162" i="5" s="1"/>
  <c r="B137" i="5"/>
  <c r="B136" i="5"/>
  <c r="G136" i="5" s="1"/>
  <c r="B135" i="5"/>
  <c r="G135" i="5" s="1"/>
  <c r="G134" i="5"/>
  <c r="G133" i="5"/>
  <c r="D132" i="5"/>
  <c r="B131" i="5"/>
  <c r="G131" i="5" s="1"/>
  <c r="F130" i="5"/>
  <c r="E130" i="5"/>
  <c r="D130" i="5"/>
  <c r="C130" i="5"/>
  <c r="B129" i="5"/>
  <c r="G129" i="5" s="1"/>
  <c r="G128" i="5"/>
  <c r="B128" i="5"/>
  <c r="B127" i="5"/>
  <c r="G127" i="5" s="1"/>
  <c r="B126" i="5"/>
  <c r="G125" i="5"/>
  <c r="F124" i="5"/>
  <c r="E124" i="5"/>
  <c r="D124" i="5"/>
  <c r="C124" i="5"/>
  <c r="B124" i="5"/>
  <c r="G123" i="5"/>
  <c r="B123" i="5"/>
  <c r="G122" i="5"/>
  <c r="F121" i="5"/>
  <c r="F132" i="5" s="1"/>
  <c r="E121" i="5"/>
  <c r="D121" i="5"/>
  <c r="C121" i="5"/>
  <c r="B120" i="5"/>
  <c r="G119" i="5"/>
  <c r="F118" i="5"/>
  <c r="E118" i="5"/>
  <c r="D118" i="5"/>
  <c r="C118" i="5"/>
  <c r="B117" i="5"/>
  <c r="G117" i="5" s="1"/>
  <c r="G116" i="5"/>
  <c r="B116" i="5"/>
  <c r="G115" i="5"/>
  <c r="G114" i="5"/>
  <c r="B114" i="5"/>
  <c r="B113" i="5"/>
  <c r="G113" i="5" s="1"/>
  <c r="B112" i="5"/>
  <c r="G112" i="5" s="1"/>
  <c r="B111" i="5"/>
  <c r="G111" i="5" s="1"/>
  <c r="B110" i="5"/>
  <c r="G110" i="5" s="1"/>
  <c r="B109" i="5"/>
  <c r="G109" i="5" s="1"/>
  <c r="B108" i="5"/>
  <c r="G108" i="5" s="1"/>
  <c r="B107" i="5"/>
  <c r="G107" i="5" s="1"/>
  <c r="F106" i="5"/>
  <c r="E106" i="5"/>
  <c r="D106" i="5"/>
  <c r="C106" i="5"/>
  <c r="B105" i="5"/>
  <c r="G105" i="5" s="1"/>
  <c r="B104" i="5"/>
  <c r="G103" i="5"/>
  <c r="F102" i="5"/>
  <c r="E102" i="5"/>
  <c r="D102" i="5"/>
  <c r="C102" i="5"/>
  <c r="C132" i="5" s="1"/>
  <c r="G101" i="5"/>
  <c r="B101" i="5"/>
  <c r="G100" i="5"/>
  <c r="B100" i="5"/>
  <c r="B102" i="5" s="1"/>
  <c r="G102" i="5" s="1"/>
  <c r="G99" i="5"/>
  <c r="B99" i="5"/>
  <c r="G98" i="5"/>
  <c r="B97" i="5"/>
  <c r="G97" i="5" s="1"/>
  <c r="B96" i="5"/>
  <c r="G96" i="5" s="1"/>
  <c r="G95" i="5"/>
  <c r="B95" i="5"/>
  <c r="B94" i="5"/>
  <c r="G94" i="5" s="1"/>
  <c r="B93" i="5"/>
  <c r="G93" i="5" s="1"/>
  <c r="B92" i="5"/>
  <c r="G92" i="5" s="1"/>
  <c r="G91" i="5"/>
  <c r="F90" i="5"/>
  <c r="E90" i="5"/>
  <c r="D90" i="5"/>
  <c r="C90" i="5"/>
  <c r="B89" i="5"/>
  <c r="G89" i="5" s="1"/>
  <c r="G88" i="5"/>
  <c r="B88" i="5"/>
  <c r="B87" i="5"/>
  <c r="G87" i="5" s="1"/>
  <c r="G86" i="5"/>
  <c r="B86" i="5"/>
  <c r="B85" i="5"/>
  <c r="G85" i="5" s="1"/>
  <c r="G84" i="5"/>
  <c r="B84" i="5"/>
  <c r="G83" i="5"/>
  <c r="F82" i="5"/>
  <c r="C82" i="5"/>
  <c r="B81" i="5"/>
  <c r="G81" i="5" s="1"/>
  <c r="F80" i="5"/>
  <c r="E80" i="5"/>
  <c r="D80" i="5"/>
  <c r="C80" i="5"/>
  <c r="B80" i="5"/>
  <c r="G80" i="5" s="1"/>
  <c r="B79" i="5"/>
  <c r="G79" i="5" s="1"/>
  <c r="G78" i="5"/>
  <c r="F77" i="5"/>
  <c r="E77" i="5"/>
  <c r="D77" i="5"/>
  <c r="C77" i="5"/>
  <c r="B76" i="5"/>
  <c r="G75" i="5"/>
  <c r="F74" i="5"/>
  <c r="E74" i="5"/>
  <c r="D74" i="5"/>
  <c r="D82" i="5" s="1"/>
  <c r="C74" i="5"/>
  <c r="B73" i="5"/>
  <c r="G73" i="5" s="1"/>
  <c r="B72" i="5"/>
  <c r="G71" i="5"/>
  <c r="G70" i="5"/>
  <c r="F69" i="5"/>
  <c r="E69" i="5"/>
  <c r="D69" i="5"/>
  <c r="C69" i="5"/>
  <c r="G68" i="5"/>
  <c r="B68" i="5"/>
  <c r="B67" i="5"/>
  <c r="G67" i="5" s="1"/>
  <c r="B66" i="5"/>
  <c r="G66" i="5" s="1"/>
  <c r="B65" i="5"/>
  <c r="G65" i="5" s="1"/>
  <c r="B64" i="5"/>
  <c r="G64" i="5" s="1"/>
  <c r="B63" i="5"/>
  <c r="G63" i="5" s="1"/>
  <c r="B62" i="5"/>
  <c r="G62" i="5" s="1"/>
  <c r="B61" i="5"/>
  <c r="G61" i="5" s="1"/>
  <c r="G60" i="5"/>
  <c r="B60" i="5"/>
  <c r="B59" i="5"/>
  <c r="G59" i="5" s="1"/>
  <c r="B58" i="5"/>
  <c r="G58" i="5" s="1"/>
  <c r="B57" i="5"/>
  <c r="G57" i="5" s="1"/>
  <c r="B56" i="5"/>
  <c r="G56" i="5" s="1"/>
  <c r="B55" i="5"/>
  <c r="B54" i="5"/>
  <c r="G54" i="5" s="1"/>
  <c r="G53" i="5"/>
  <c r="G52" i="5"/>
  <c r="B48" i="5"/>
  <c r="G48" i="5" s="1"/>
  <c r="G46" i="5"/>
  <c r="B46" i="5"/>
  <c r="D45" i="5"/>
  <c r="D47" i="5" s="1"/>
  <c r="B44" i="5"/>
  <c r="G44" i="5" s="1"/>
  <c r="B43" i="5"/>
  <c r="G43" i="5" s="1"/>
  <c r="B42" i="5"/>
  <c r="G42" i="5" s="1"/>
  <c r="F41" i="5"/>
  <c r="F45" i="5" s="1"/>
  <c r="F47" i="5" s="1"/>
  <c r="E41" i="5"/>
  <c r="E45" i="5" s="1"/>
  <c r="D41" i="5"/>
  <c r="C41" i="5"/>
  <c r="C45" i="5" s="1"/>
  <c r="G40" i="5"/>
  <c r="B40" i="5"/>
  <c r="B39" i="5"/>
  <c r="G39" i="5" s="1"/>
  <c r="B38" i="5"/>
  <c r="G38" i="5" s="1"/>
  <c r="B37" i="5"/>
  <c r="G37" i="5" s="1"/>
  <c r="B36" i="5"/>
  <c r="G36" i="5" s="1"/>
  <c r="B35" i="5"/>
  <c r="G34" i="5"/>
  <c r="G33" i="5"/>
  <c r="F32" i="5"/>
  <c r="E32" i="5"/>
  <c r="D32" i="5"/>
  <c r="C32" i="5"/>
  <c r="C47" i="5" s="1"/>
  <c r="G31" i="5"/>
  <c r="B31" i="5"/>
  <c r="B30" i="5"/>
  <c r="G30" i="5" s="1"/>
  <c r="B29" i="5"/>
  <c r="B28" i="5"/>
  <c r="G28" i="5" s="1"/>
  <c r="G27" i="5"/>
  <c r="G26" i="5"/>
  <c r="C24" i="5"/>
  <c r="B24" i="5"/>
  <c r="F23" i="5"/>
  <c r="F24" i="5" s="1"/>
  <c r="F25" i="5" s="1"/>
  <c r="D23" i="5"/>
  <c r="D24" i="5" s="1"/>
  <c r="C23" i="5"/>
  <c r="B23" i="5"/>
  <c r="E22" i="5"/>
  <c r="G22" i="5" s="1"/>
  <c r="E21" i="5"/>
  <c r="G21" i="5" s="1"/>
  <c r="E20" i="5"/>
  <c r="G20" i="5" s="1"/>
  <c r="G19" i="5"/>
  <c r="G18" i="5"/>
  <c r="D17" i="5"/>
  <c r="F16" i="5"/>
  <c r="F17" i="5" s="1"/>
  <c r="D16" i="5"/>
  <c r="C16" i="5"/>
  <c r="C17" i="5" s="1"/>
  <c r="B16" i="5"/>
  <c r="E15" i="5"/>
  <c r="G15" i="5" s="1"/>
  <c r="E14" i="5"/>
  <c r="G13" i="5"/>
  <c r="G12" i="5"/>
  <c r="F11" i="5"/>
  <c r="E11" i="5"/>
  <c r="C11" i="5"/>
  <c r="B11" i="5"/>
  <c r="D10" i="5"/>
  <c r="G10" i="5" s="1"/>
  <c r="D9" i="5"/>
  <c r="G8" i="5"/>
  <c r="G7" i="5"/>
  <c r="C158" i="4"/>
  <c r="B157" i="4"/>
  <c r="B156" i="4"/>
  <c r="B155" i="4"/>
  <c r="B154" i="4"/>
  <c r="B153" i="4"/>
  <c r="B152" i="4"/>
  <c r="B151" i="4"/>
  <c r="B150" i="4"/>
  <c r="B158" i="4" s="1"/>
  <c r="B149" i="4"/>
  <c r="B148" i="4"/>
  <c r="C146" i="4"/>
  <c r="B143" i="4"/>
  <c r="B142" i="4"/>
  <c r="B141" i="4"/>
  <c r="B140" i="4"/>
  <c r="B146" i="4" s="1"/>
  <c r="B139" i="4"/>
  <c r="C137" i="4"/>
  <c r="B137" i="4"/>
  <c r="C132" i="4"/>
  <c r="C159" i="4" s="1"/>
  <c r="B131" i="4"/>
  <c r="B130" i="4"/>
  <c r="B132" i="4" s="1"/>
  <c r="C123" i="4"/>
  <c r="B123" i="4"/>
  <c r="C117" i="4"/>
  <c r="B117" i="4"/>
  <c r="C116" i="4"/>
  <c r="C114" i="4"/>
  <c r="B114" i="4"/>
  <c r="C110" i="4"/>
  <c r="B110" i="4"/>
  <c r="B104" i="4"/>
  <c r="C103" i="4"/>
  <c r="B103" i="4"/>
  <c r="B102" i="4"/>
  <c r="B101" i="4"/>
  <c r="B100" i="4"/>
  <c r="B99" i="4"/>
  <c r="B98" i="4"/>
  <c r="C97" i="4"/>
  <c r="B97" i="4"/>
  <c r="C96" i="4"/>
  <c r="B96" i="4"/>
  <c r="B95" i="4"/>
  <c r="C92" i="4"/>
  <c r="C127" i="4" s="1"/>
  <c r="B91" i="4"/>
  <c r="C90" i="4"/>
  <c r="B90" i="4"/>
  <c r="B89" i="4"/>
  <c r="B92" i="4" s="1"/>
  <c r="B87" i="4"/>
  <c r="B86" i="4"/>
  <c r="B85" i="4"/>
  <c r="B84" i="4"/>
  <c r="B127" i="4" s="1"/>
  <c r="C79" i="4"/>
  <c r="C80" i="4" s="1"/>
  <c r="B79" i="4"/>
  <c r="B78" i="4"/>
  <c r="B77" i="4"/>
  <c r="B76" i="4"/>
  <c r="B80" i="4" s="1"/>
  <c r="B75" i="4"/>
  <c r="B74" i="4"/>
  <c r="C65" i="4"/>
  <c r="B65" i="4"/>
  <c r="C62" i="4"/>
  <c r="C72" i="4" s="1"/>
  <c r="B62" i="4"/>
  <c r="B72" i="4" s="1"/>
  <c r="C56" i="4"/>
  <c r="B45" i="4"/>
  <c r="B44" i="4"/>
  <c r="B56" i="4" s="1"/>
  <c r="B39" i="4"/>
  <c r="C32" i="4"/>
  <c r="C33" i="4" s="1"/>
  <c r="C34" i="4" s="1"/>
  <c r="C35" i="4" s="1"/>
  <c r="C28" i="4"/>
  <c r="C24" i="4"/>
  <c r="B24" i="4"/>
  <c r="B32" i="4" s="1"/>
  <c r="B33" i="4" s="1"/>
  <c r="B34" i="4" s="1"/>
  <c r="B35" i="4" s="1"/>
  <c r="C14" i="4"/>
  <c r="B14" i="4"/>
  <c r="B134" i="3"/>
  <c r="B133" i="3"/>
  <c r="B132" i="3"/>
  <c r="B131" i="3"/>
  <c r="B129" i="3"/>
  <c r="C119" i="3"/>
  <c r="B119" i="3"/>
  <c r="C115" i="3"/>
  <c r="C120" i="3" s="1"/>
  <c r="C114" i="3"/>
  <c r="B114" i="3"/>
  <c r="B113" i="3"/>
  <c r="B112" i="3"/>
  <c r="B115" i="3" s="1"/>
  <c r="B120" i="3" s="1"/>
  <c r="C106" i="3"/>
  <c r="B104" i="3"/>
  <c r="B103" i="3"/>
  <c r="B95" i="3"/>
  <c r="C93" i="3"/>
  <c r="C91" i="3"/>
  <c r="C101" i="3" s="1"/>
  <c r="B91" i="3"/>
  <c r="B89" i="3"/>
  <c r="B88" i="3"/>
  <c r="B87" i="3"/>
  <c r="B101" i="3" s="1"/>
  <c r="B81" i="3"/>
  <c r="C80" i="3"/>
  <c r="C79" i="3"/>
  <c r="C78" i="3"/>
  <c r="C81" i="3" s="1"/>
  <c r="C73" i="3"/>
  <c r="C72" i="3"/>
  <c r="C82" i="3" s="1"/>
  <c r="B72" i="3"/>
  <c r="B82" i="3" s="1"/>
  <c r="C66" i="3"/>
  <c r="C67" i="3" s="1"/>
  <c r="B65" i="3"/>
  <c r="B67" i="3" s="1"/>
  <c r="B64" i="3"/>
  <c r="C60" i="3"/>
  <c r="B55" i="3"/>
  <c r="B60" i="3" s="1"/>
  <c r="C53" i="3"/>
  <c r="B53" i="3"/>
  <c r="C46" i="3"/>
  <c r="C68" i="3" s="1"/>
  <c r="B46" i="3"/>
  <c r="C45" i="3"/>
  <c r="B45" i="3"/>
  <c r="C24" i="3"/>
  <c r="B24" i="3"/>
  <c r="C19" i="3"/>
  <c r="C25" i="3" s="1"/>
  <c r="B19" i="3"/>
  <c r="B25" i="3" s="1"/>
  <c r="B15" i="3"/>
  <c r="C14" i="3"/>
  <c r="C15" i="3" s="1"/>
  <c r="B14" i="3"/>
  <c r="C10" i="3"/>
  <c r="C28" i="3" s="1"/>
  <c r="C29" i="3" s="1"/>
  <c r="C30" i="3" s="1"/>
  <c r="B10" i="3"/>
  <c r="B28" i="3" s="1"/>
  <c r="B30" i="3" s="1"/>
  <c r="B151" i="2"/>
  <c r="D150" i="2"/>
  <c r="B150" i="2"/>
  <c r="B148" i="2"/>
  <c r="D147" i="2"/>
  <c r="B147" i="2"/>
  <c r="B146" i="2"/>
  <c r="B149" i="2" s="1"/>
  <c r="D145" i="2"/>
  <c r="D149" i="2" s="1"/>
  <c r="B145" i="2"/>
  <c r="D143" i="2"/>
  <c r="B143" i="2"/>
  <c r="B141" i="2"/>
  <c r="B140" i="2"/>
  <c r="D139" i="2"/>
  <c r="D142" i="2" s="1"/>
  <c r="B139" i="2"/>
  <c r="B142" i="2" s="1"/>
  <c r="B152" i="2" s="1"/>
  <c r="D133" i="2"/>
  <c r="B133" i="2"/>
  <c r="D132" i="2"/>
  <c r="B132" i="2"/>
  <c r="D131" i="2"/>
  <c r="B131" i="2"/>
  <c r="B130" i="2"/>
  <c r="D129" i="2"/>
  <c r="B129" i="2"/>
  <c r="B128" i="2"/>
  <c r="D127" i="2"/>
  <c r="B127" i="2"/>
  <c r="D126" i="2"/>
  <c r="B126" i="2"/>
  <c r="D125" i="2"/>
  <c r="B125" i="2"/>
  <c r="D124" i="2"/>
  <c r="B124" i="2"/>
  <c r="D123" i="2"/>
  <c r="D134" i="2" s="1"/>
  <c r="B123" i="2"/>
  <c r="B134" i="2" s="1"/>
  <c r="D121" i="2"/>
  <c r="B121" i="2"/>
  <c r="D120" i="2"/>
  <c r="B120" i="2"/>
  <c r="D119" i="2"/>
  <c r="B119" i="2"/>
  <c r="D118" i="2"/>
  <c r="B118" i="2"/>
  <c r="D117" i="2"/>
  <c r="B117" i="2"/>
  <c r="D116" i="2"/>
  <c r="B116" i="2"/>
  <c r="D115" i="2"/>
  <c r="B115" i="2"/>
  <c r="D114" i="2"/>
  <c r="B114" i="2"/>
  <c r="D113" i="2"/>
  <c r="D135" i="2" s="1"/>
  <c r="B113" i="2"/>
  <c r="B135" i="2" s="1"/>
  <c r="B110" i="2"/>
  <c r="D109" i="2"/>
  <c r="B109" i="2"/>
  <c r="D108" i="2"/>
  <c r="B108" i="2"/>
  <c r="D107" i="2"/>
  <c r="B107" i="2"/>
  <c r="D106" i="2"/>
  <c r="B106" i="2"/>
  <c r="D105" i="2"/>
  <c r="B105" i="2"/>
  <c r="D104" i="2"/>
  <c r="B104" i="2"/>
  <c r="D103" i="2"/>
  <c r="D110" i="2" s="1"/>
  <c r="B103" i="2"/>
  <c r="B100" i="2"/>
  <c r="B99" i="2"/>
  <c r="D98" i="2"/>
  <c r="B98" i="2"/>
  <c r="D97" i="2"/>
  <c r="B97" i="2"/>
  <c r="D96" i="2"/>
  <c r="B96" i="2"/>
  <c r="B101" i="2" s="1"/>
  <c r="B111" i="2" s="1"/>
  <c r="D95" i="2"/>
  <c r="D101" i="2" s="1"/>
  <c r="D111" i="2" s="1"/>
  <c r="B95" i="2"/>
  <c r="B92" i="2"/>
  <c r="D91" i="2"/>
  <c r="D92" i="2" s="1"/>
  <c r="B91" i="2"/>
  <c r="D84" i="2"/>
  <c r="B84" i="2"/>
  <c r="D82" i="2"/>
  <c r="B82" i="2"/>
  <c r="D81" i="2"/>
  <c r="B81" i="2"/>
  <c r="D80" i="2"/>
  <c r="B80" i="2"/>
  <c r="D79" i="2"/>
  <c r="B79" i="2"/>
  <c r="D77" i="2"/>
  <c r="B77" i="2"/>
  <c r="D76" i="2"/>
  <c r="B76" i="2"/>
  <c r="D75" i="2"/>
  <c r="B75" i="2"/>
  <c r="D74" i="2"/>
  <c r="D78" i="2" s="1"/>
  <c r="B74" i="2"/>
  <c r="B78" i="2" s="1"/>
  <c r="D73" i="2"/>
  <c r="D83" i="2" s="1"/>
  <c r="D85" i="2" s="1"/>
  <c r="B73" i="2"/>
  <c r="B83" i="2" s="1"/>
  <c r="B85" i="2" s="1"/>
  <c r="D66" i="2"/>
  <c r="B66" i="2"/>
  <c r="D65" i="2"/>
  <c r="D67" i="2" s="1"/>
  <c r="B65" i="2"/>
  <c r="B67" i="2" s="1"/>
  <c r="D63" i="2"/>
  <c r="B63" i="2"/>
  <c r="D62" i="2"/>
  <c r="B62" i="2"/>
  <c r="D61" i="2"/>
  <c r="B61" i="2"/>
  <c r="D57" i="2"/>
  <c r="B57" i="2"/>
  <c r="D56" i="2"/>
  <c r="B56" i="2"/>
  <c r="B58" i="2" s="1"/>
  <c r="D55" i="2"/>
  <c r="D58" i="2" s="1"/>
  <c r="D59" i="2" s="1"/>
  <c r="B55" i="2"/>
  <c r="D54" i="2"/>
  <c r="B54" i="2"/>
  <c r="B53" i="2"/>
  <c r="D52" i="2"/>
  <c r="B52" i="2"/>
  <c r="D51" i="2"/>
  <c r="B51" i="2"/>
  <c r="B59" i="2" s="1"/>
  <c r="D48" i="2"/>
  <c r="B48" i="2"/>
  <c r="D47" i="2"/>
  <c r="B47" i="2"/>
  <c r="D46" i="2"/>
  <c r="B46" i="2"/>
  <c r="D45" i="2"/>
  <c r="D49" i="2" s="1"/>
  <c r="B45" i="2"/>
  <c r="B49" i="2" s="1"/>
  <c r="D42" i="2"/>
  <c r="B42" i="2"/>
  <c r="D41" i="2"/>
  <c r="B41" i="2"/>
  <c r="D40" i="2"/>
  <c r="B40" i="2"/>
  <c r="D39" i="2"/>
  <c r="D43" i="2" s="1"/>
  <c r="B39" i="2"/>
  <c r="B43" i="2" s="1"/>
  <c r="B34" i="2"/>
  <c r="B33" i="2"/>
  <c r="D32" i="2"/>
  <c r="B32" i="2"/>
  <c r="D31" i="2"/>
  <c r="B31" i="2"/>
  <c r="D30" i="2"/>
  <c r="B30" i="2"/>
  <c r="D29" i="2"/>
  <c r="D34" i="2" s="1"/>
  <c r="B29" i="2"/>
  <c r="D26" i="2"/>
  <c r="B26" i="2"/>
  <c r="D25" i="2"/>
  <c r="D27" i="2" s="1"/>
  <c r="B25" i="2"/>
  <c r="B27" i="2" s="1"/>
  <c r="D23" i="2"/>
  <c r="B22" i="2"/>
  <c r="D21" i="2"/>
  <c r="B21" i="2"/>
  <c r="D20" i="2"/>
  <c r="B20" i="2"/>
  <c r="D18" i="2"/>
  <c r="B18" i="2"/>
  <c r="D17" i="2"/>
  <c r="B17" i="2"/>
  <c r="D16" i="2"/>
  <c r="B16" i="2"/>
  <c r="D15" i="2"/>
  <c r="B15" i="2"/>
  <c r="D14" i="2"/>
  <c r="B14" i="2"/>
  <c r="D13" i="2"/>
  <c r="B13" i="2"/>
  <c r="D12" i="2"/>
  <c r="B12" i="2"/>
  <c r="D11" i="2"/>
  <c r="B11" i="2"/>
  <c r="D10" i="2"/>
  <c r="B10" i="2"/>
  <c r="B23" i="2" s="1"/>
  <c r="B35" i="2" s="1"/>
  <c r="F63" i="1"/>
  <c r="C63" i="1"/>
  <c r="B55" i="1"/>
  <c r="F43" i="1"/>
  <c r="E43" i="1"/>
  <c r="C43" i="1"/>
  <c r="B43" i="1"/>
  <c r="F35" i="1"/>
  <c r="F47" i="1" s="1"/>
  <c r="E35" i="1"/>
  <c r="E47" i="1" s="1"/>
  <c r="C35" i="1"/>
  <c r="C47" i="1" s="1"/>
  <c r="B35" i="1"/>
  <c r="B47" i="1" s="1"/>
  <c r="F22" i="1"/>
  <c r="E22" i="1"/>
  <c r="C22" i="1"/>
  <c r="B22" i="1"/>
  <c r="E15" i="1"/>
  <c r="E24" i="1" s="1"/>
  <c r="E49" i="1" s="1"/>
  <c r="E57" i="1" s="1"/>
  <c r="B15" i="1"/>
  <c r="B24" i="1" s="1"/>
  <c r="F14" i="1"/>
  <c r="F15" i="1" s="1"/>
  <c r="F24" i="1" s="1"/>
  <c r="E14" i="1"/>
  <c r="C14" i="1"/>
  <c r="C15" i="1" s="1"/>
  <c r="C24" i="1" s="1"/>
  <c r="C49" i="1" s="1"/>
  <c r="H8" i="1"/>
  <c r="G8" i="1"/>
  <c r="H7" i="1"/>
  <c r="G7" i="1"/>
  <c r="M80" i="6" l="1"/>
  <c r="O78" i="6"/>
  <c r="F49" i="5"/>
  <c r="F50" i="5" s="1"/>
  <c r="B32" i="5"/>
  <c r="G29" i="5"/>
  <c r="E163" i="5"/>
  <c r="G72" i="5"/>
  <c r="B74" i="5"/>
  <c r="F236" i="5"/>
  <c r="D11" i="5"/>
  <c r="D25" i="5" s="1"/>
  <c r="D49" i="5" s="1"/>
  <c r="D50" i="5" s="1"/>
  <c r="G9" i="5"/>
  <c r="E16" i="5"/>
  <c r="E17" i="5" s="1"/>
  <c r="G14" i="5"/>
  <c r="G120" i="5"/>
  <c r="B121" i="5"/>
  <c r="G121" i="5" s="1"/>
  <c r="E47" i="5"/>
  <c r="G35" i="5"/>
  <c r="B41" i="5"/>
  <c r="G55" i="5"/>
  <c r="B69" i="5"/>
  <c r="D291" i="5"/>
  <c r="G276" i="5"/>
  <c r="G11" i="5"/>
  <c r="B17" i="5"/>
  <c r="G17" i="5" s="1"/>
  <c r="G16" i="5"/>
  <c r="B77" i="5"/>
  <c r="G77" i="5" s="1"/>
  <c r="G76" i="5"/>
  <c r="C163" i="5"/>
  <c r="C241" i="5" s="1"/>
  <c r="B130" i="5"/>
  <c r="G130" i="5" s="1"/>
  <c r="G126" i="5"/>
  <c r="C195" i="5"/>
  <c r="C236" i="5" s="1"/>
  <c r="G176" i="5"/>
  <c r="G175" i="5"/>
  <c r="G214" i="5"/>
  <c r="G190" i="5"/>
  <c r="F235" i="5"/>
  <c r="C25" i="5"/>
  <c r="C49" i="5" s="1"/>
  <c r="C50" i="5" s="1"/>
  <c r="C242" i="5" s="1"/>
  <c r="E82" i="5"/>
  <c r="B162" i="5"/>
  <c r="F162" i="5"/>
  <c r="F163" i="5" s="1"/>
  <c r="F241" i="5" s="1"/>
  <c r="B161" i="5"/>
  <c r="G161" i="5" s="1"/>
  <c r="G178" i="5"/>
  <c r="E182" i="5"/>
  <c r="G238" i="5"/>
  <c r="C280" i="5"/>
  <c r="G280" i="5" s="1"/>
  <c r="G272" i="5"/>
  <c r="E23" i="5"/>
  <c r="E24" i="5" s="1"/>
  <c r="G24" i="5" s="1"/>
  <c r="E132" i="5"/>
  <c r="B106" i="5"/>
  <c r="G106" i="5" s="1"/>
  <c r="B118" i="5"/>
  <c r="G118" i="5" s="1"/>
  <c r="G124" i="5"/>
  <c r="G137" i="5"/>
  <c r="B142" i="5"/>
  <c r="G142" i="5" s="1"/>
  <c r="G182" i="5"/>
  <c r="B195" i="5"/>
  <c r="G197" i="5"/>
  <c r="E230" i="5"/>
  <c r="E234" i="5" s="1"/>
  <c r="G234" i="5" s="1"/>
  <c r="G282" i="5"/>
  <c r="G285" i="5"/>
  <c r="B286" i="5"/>
  <c r="B290" i="5" s="1"/>
  <c r="G104" i="5"/>
  <c r="E190" i="5"/>
  <c r="E195" i="5" s="1"/>
  <c r="G192" i="5"/>
  <c r="E233" i="5"/>
  <c r="G233" i="5" s="1"/>
  <c r="G232" i="5"/>
  <c r="B258" i="5"/>
  <c r="B263" i="5"/>
  <c r="G263" i="5" s="1"/>
  <c r="G261" i="5"/>
  <c r="D163" i="5"/>
  <c r="B90" i="5"/>
  <c r="G90" i="5" s="1"/>
  <c r="D203" i="5"/>
  <c r="D204" i="5" s="1"/>
  <c r="E214" i="5"/>
  <c r="E220" i="5" s="1"/>
  <c r="G213" i="5"/>
  <c r="C252" i="5"/>
  <c r="C258" i="5" s="1"/>
  <c r="C264" i="5" s="1"/>
  <c r="C160" i="4"/>
  <c r="C161" i="4" s="1"/>
  <c r="C162" i="4" s="1"/>
  <c r="B159" i="4"/>
  <c r="B160" i="4" s="1"/>
  <c r="B161" i="4" s="1"/>
  <c r="B162" i="4" s="1"/>
  <c r="B68" i="3"/>
  <c r="B121" i="3"/>
  <c r="C121" i="3"/>
  <c r="C122" i="3" s="1"/>
  <c r="C123" i="3" s="1"/>
  <c r="C124" i="3" s="1"/>
  <c r="C125" i="3" s="1"/>
  <c r="D136" i="2"/>
  <c r="D137" i="2" s="1"/>
  <c r="D35" i="2"/>
  <c r="B68" i="2"/>
  <c r="B69" i="2" s="1"/>
  <c r="B70" i="2" s="1"/>
  <c r="B86" i="2" s="1"/>
  <c r="B136" i="2"/>
  <c r="B137" i="2" s="1"/>
  <c r="B153" i="2" s="1"/>
  <c r="D68" i="2"/>
  <c r="D69" i="2" s="1"/>
  <c r="D70" i="2" s="1"/>
  <c r="D152" i="2"/>
  <c r="B49" i="1"/>
  <c r="B57" i="1" s="1"/>
  <c r="G204" i="5" l="1"/>
  <c r="D236" i="5"/>
  <c r="E235" i="5"/>
  <c r="G235" i="5" s="1"/>
  <c r="G220" i="5"/>
  <c r="G203" i="5"/>
  <c r="G162" i="5"/>
  <c r="D241" i="5"/>
  <c r="G252" i="5"/>
  <c r="B25" i="5"/>
  <c r="G69" i="5"/>
  <c r="D242" i="5"/>
  <c r="D292" i="5" s="1"/>
  <c r="G74" i="5"/>
  <c r="B82" i="5"/>
  <c r="G82" i="5" s="1"/>
  <c r="G32" i="5"/>
  <c r="C286" i="5"/>
  <c r="C290" i="5" s="1"/>
  <c r="G290" i="5" s="1"/>
  <c r="G258" i="5"/>
  <c r="B264" i="5"/>
  <c r="G23" i="5"/>
  <c r="G230" i="5"/>
  <c r="G195" i="5"/>
  <c r="B236" i="5"/>
  <c r="B132" i="5"/>
  <c r="G132" i="5" s="1"/>
  <c r="F242" i="5"/>
  <c r="F292" i="5" s="1"/>
  <c r="G286" i="5"/>
  <c r="G41" i="5"/>
  <c r="B45" i="5"/>
  <c r="G45" i="5" s="1"/>
  <c r="E25" i="5"/>
  <c r="E49" i="5" s="1"/>
  <c r="E50" i="5" s="1"/>
  <c r="B181" i="4"/>
  <c r="C169" i="4"/>
  <c r="B122" i="3"/>
  <c r="B123" i="3" s="1"/>
  <c r="B124" i="3" s="1"/>
  <c r="B125" i="3" s="1"/>
  <c r="B136" i="3" s="1"/>
  <c r="D86" i="2"/>
  <c r="D153" i="2"/>
  <c r="E242" i="5" l="1"/>
  <c r="E292" i="5" s="1"/>
  <c r="G25" i="5"/>
  <c r="C291" i="5"/>
  <c r="C292" i="5" s="1"/>
  <c r="B47" i="5"/>
  <c r="G47" i="5" s="1"/>
  <c r="E236" i="5"/>
  <c r="E241" i="5" s="1"/>
  <c r="G236" i="5"/>
  <c r="B291" i="5"/>
  <c r="G291" i="5" s="1"/>
  <c r="G264" i="5"/>
  <c r="B163" i="5"/>
  <c r="B49" i="5" l="1"/>
  <c r="B241" i="5"/>
  <c r="G241" i="5" s="1"/>
  <c r="G163" i="5"/>
  <c r="G49" i="5" l="1"/>
  <c r="B50" i="5"/>
  <c r="G50" i="5" l="1"/>
  <c r="B242" i="5"/>
  <c r="B292" i="5" l="1"/>
  <c r="G292" i="5" s="1"/>
  <c r="G24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Marjorie Case</author>
  </authors>
  <commentList>
    <comment ref="C24" authorId="0" shapeId="0" xr:uid="{EC6F8758-49E3-4148-93DB-D93ACA06FC2E}">
      <text>
        <r>
          <rPr>
            <b/>
            <sz val="9"/>
            <color indexed="81"/>
            <rFont val="Tahoma"/>
            <family val="2"/>
          </rPr>
          <t>Marjorie Case:</t>
        </r>
        <r>
          <rPr>
            <sz val="9"/>
            <color indexed="81"/>
            <rFont val="Tahoma"/>
            <family val="2"/>
          </rPr>
          <t xml:space="preserve">
beginning balance shb
40,366.68
</t>
        </r>
        <r>
          <rPr>
            <u/>
            <sz val="9"/>
            <color indexed="81"/>
            <rFont val="Tahoma"/>
            <family val="2"/>
          </rPr>
          <t>49,639.69
90,006.37</t>
        </r>
      </text>
    </comment>
    <comment ref="M25" authorId="0" shapeId="0" xr:uid="{A33AAD8C-9456-4732-B28C-329BC0C4E891}">
      <text>
        <r>
          <rPr>
            <b/>
            <sz val="9"/>
            <color indexed="81"/>
            <rFont val="Tahoma"/>
            <family val="2"/>
          </rPr>
          <t>Marjorie Case:</t>
        </r>
        <r>
          <rPr>
            <sz val="9"/>
            <color indexed="81"/>
            <rFont val="Tahoma"/>
            <family val="2"/>
          </rPr>
          <t xml:space="preserve">
reclassed to Fixed assets
Pontoon boat 22,700
build 2 boat houses  20092.</t>
        </r>
      </text>
    </comment>
    <comment ref="G37" authorId="0" shapeId="0" xr:uid="{CCA41CA2-7F72-4582-ABE3-CFBE7F04A16D}">
      <text>
        <r>
          <rPr>
            <b/>
            <sz val="9"/>
            <color indexed="81"/>
            <rFont val="Tahoma"/>
            <family val="2"/>
          </rPr>
          <t>Marjorie Case:</t>
        </r>
        <r>
          <rPr>
            <sz val="9"/>
            <color indexed="81"/>
            <rFont val="Tahoma"/>
            <family val="2"/>
          </rPr>
          <t xml:space="preserve">
set up invoices for amounts due</t>
        </r>
      </text>
    </comment>
  </commentList>
</comments>
</file>

<file path=xl/sharedStrings.xml><?xml version="1.0" encoding="utf-8"?>
<sst xmlns="http://schemas.openxmlformats.org/spreadsheetml/2006/main" count="857" uniqueCount="636">
  <si>
    <t>Presbytery of Geneva - 2022</t>
  </si>
  <si>
    <t>Jan - Dec 2022</t>
  </si>
  <si>
    <t>2022
Y-T-D</t>
  </si>
  <si>
    <t>2022
Budget</t>
  </si>
  <si>
    <t>2021
Y-T-D</t>
  </si>
  <si>
    <t>2021
Budget</t>
  </si>
  <si>
    <t>Giving and Other Receipts (Income)</t>
  </si>
  <si>
    <t>Presbytery Receipts</t>
  </si>
  <si>
    <t>Per Capita</t>
  </si>
  <si>
    <t>Presbytery Mission</t>
  </si>
  <si>
    <t>Other Presbytery Receipts</t>
  </si>
  <si>
    <t xml:space="preserve">    Misc Other</t>
  </si>
  <si>
    <t>Total Presbytery Receipts</t>
  </si>
  <si>
    <t>Camp Whitman Receipts</t>
  </si>
  <si>
    <t xml:space="preserve">     Camper &amp; Group Fees</t>
  </si>
  <si>
    <t xml:space="preserve">     Presbytery of Geneva Mission</t>
  </si>
  <si>
    <t xml:space="preserve">     Other Donations</t>
  </si>
  <si>
    <t>Total Camp Receipts</t>
  </si>
  <si>
    <t>Total Giving &amp; Other Receipts</t>
  </si>
  <si>
    <t>Ministry &amp; Mission (Expenditures)</t>
  </si>
  <si>
    <t>Presbytery Expenses</t>
  </si>
  <si>
    <t>Total Personnel</t>
  </si>
  <si>
    <t>Mission allocation to Camp</t>
  </si>
  <si>
    <t>Total Mission</t>
  </si>
  <si>
    <t>Total Operations</t>
  </si>
  <si>
    <t>Total Presbytery Expenses</t>
  </si>
  <si>
    <t>Camp Whitman Expenses</t>
  </si>
  <si>
    <t>Year-Round Staff Salaries</t>
  </si>
  <si>
    <t>Camp Summer Salaries</t>
  </si>
  <si>
    <t xml:space="preserve"> Salary Exp - Other</t>
  </si>
  <si>
    <t>Program Expenses</t>
  </si>
  <si>
    <t>Operating Expenses</t>
  </si>
  <si>
    <t>Total Camp Whitman Expenses</t>
  </si>
  <si>
    <t>Total Ministry &amp; Mission</t>
  </si>
  <si>
    <r>
      <t>Budget Surplus /</t>
    </r>
    <r>
      <rPr>
        <b/>
        <sz val="12"/>
        <color indexed="10"/>
        <rFont val="Calibri"/>
        <family val="2"/>
      </rPr>
      <t xml:space="preserve"> (Shortage)</t>
    </r>
  </si>
  <si>
    <t>Net Dedicated Accts</t>
  </si>
  <si>
    <t>Net Investment Activity</t>
  </si>
  <si>
    <t>Change in Life Interest</t>
  </si>
  <si>
    <t>Other Income New covenant</t>
  </si>
  <si>
    <t>Net closing on Sale/depreciation</t>
  </si>
  <si>
    <t>Prior Year Adj</t>
  </si>
  <si>
    <t>Net Income Per Balance Sheet</t>
  </si>
  <si>
    <t>Membership</t>
  </si>
  <si>
    <t>Presbytery per capita</t>
  </si>
  <si>
    <t>Synod per capita</t>
  </si>
  <si>
    <t>GA per capita</t>
  </si>
  <si>
    <t>Total per capita</t>
  </si>
  <si>
    <t>Presbytery of Geneva</t>
  </si>
  <si>
    <t>Balance Sheet</t>
  </si>
  <si>
    <t>As of December 31, 2022</t>
  </si>
  <si>
    <t>Total</t>
  </si>
  <si>
    <t>As of Dec 31, 2022</t>
  </si>
  <si>
    <t>As of Dec 31, 2021 (PY)</t>
  </si>
  <si>
    <t>ASSETS</t>
  </si>
  <si>
    <t xml:space="preserve">   Current Assets</t>
  </si>
  <si>
    <t xml:space="preserve">      Bank Accounts</t>
  </si>
  <si>
    <t xml:space="preserve">         101 Community Bank - Operating  (1525)</t>
  </si>
  <si>
    <t xml:space="preserve">         102 Community Savings - MM</t>
  </si>
  <si>
    <t xml:space="preserve">         103 Community Bank - Savings</t>
  </si>
  <si>
    <t xml:space="preserve">         104 Community Bank - CCCF</t>
  </si>
  <si>
    <t xml:space="preserve">         105 Community - Camp Checking (0670)</t>
  </si>
  <si>
    <t xml:space="preserve">         106 Community - Camp Savings 2473</t>
  </si>
  <si>
    <t xml:space="preserve">         110 Community Bank - Mexico Mission</t>
  </si>
  <si>
    <t xml:space="preserve">         120 PayPal</t>
  </si>
  <si>
    <t xml:space="preserve">         130 Presbytery Mission Exchange</t>
  </si>
  <si>
    <t xml:space="preserve">         135 Presbyterian Foundation</t>
  </si>
  <si>
    <t xml:space="preserve">            135-1 Fidelity-Camp Whitman</t>
  </si>
  <si>
    <t xml:space="preserve">         Total 135 Presbyterian Foundation</t>
  </si>
  <si>
    <t xml:space="preserve">         2750_W CAMP WHITMAN EXPENDITURE - PERMITS/MEMBERSHIPS</t>
  </si>
  <si>
    <t xml:space="preserve">      Total Bank Accounts</t>
  </si>
  <si>
    <t xml:space="preserve">      Accounts Receivable</t>
  </si>
  <si>
    <t xml:space="preserve">         11000 Accounts Receivable</t>
  </si>
  <si>
    <t xml:space="preserve">         11001 A/R - YTD Adj</t>
  </si>
  <si>
    <t xml:space="preserve">      Total Accounts Receivable</t>
  </si>
  <si>
    <t xml:space="preserve">      Other Current Assets</t>
  </si>
  <si>
    <t xml:space="preserve">         12000 Undeposited Funds</t>
  </si>
  <si>
    <t xml:space="preserve">         12500 Start Up Cash</t>
  </si>
  <si>
    <t xml:space="preserve">         13000 Inventory</t>
  </si>
  <si>
    <t xml:space="preserve">         14400 Prepaid Expenses</t>
  </si>
  <si>
    <t xml:space="preserve">         Payroll Corrections</t>
  </si>
  <si>
    <t xml:space="preserve">      Total Other Current Assets</t>
  </si>
  <si>
    <t xml:space="preserve">   Total Current Assets</t>
  </si>
  <si>
    <t xml:space="preserve">   Fixed Assets</t>
  </si>
  <si>
    <t xml:space="preserve">      10000 Presbytery</t>
  </si>
  <si>
    <t xml:space="preserve">         14000 FA - Presbytery</t>
  </si>
  <si>
    <t xml:space="preserve">            14210 Building</t>
  </si>
  <si>
    <t xml:space="preserve">            14500 Leasehold improvements</t>
  </si>
  <si>
    <t xml:space="preserve">            14800 Furniture and Equipment</t>
  </si>
  <si>
    <t xml:space="preserve">            14900 Vehicles</t>
  </si>
  <si>
    <t xml:space="preserve">         Total 14000 FA - Presbytery</t>
  </si>
  <si>
    <t xml:space="preserve">         14200 A/D - Presbytery</t>
  </si>
  <si>
    <t xml:space="preserve">            14100 Building - A/D</t>
  </si>
  <si>
    <t xml:space="preserve">            14510 Leasehold Improv - A/D</t>
  </si>
  <si>
    <t xml:space="preserve">            14810 Furniture &amp; Fixtures - A/D</t>
  </si>
  <si>
    <t xml:space="preserve">            15301 Accumulated Amortization</t>
  </si>
  <si>
    <t xml:space="preserve">         Total 14200 A/D - Presbytery</t>
  </si>
  <si>
    <t xml:space="preserve">         15000 FA - Camp</t>
  </si>
  <si>
    <t xml:space="preserve">            15100 Buildings</t>
  </si>
  <si>
    <t xml:space="preserve">            15150 Land</t>
  </si>
  <si>
    <t xml:space="preserve">            15200 Improvements</t>
  </si>
  <si>
    <t xml:space="preserve">            15300 Furniture &amp; Equipment</t>
  </si>
  <si>
    <t xml:space="preserve">            15600 Vehicles &amp; Boats</t>
  </si>
  <si>
    <t xml:space="preserve">               15310 Boats</t>
  </si>
  <si>
    <t xml:space="preserve">               15340 Vehicles/Tractors</t>
  </si>
  <si>
    <t xml:space="preserve">            Total 15600 Vehicles &amp; Boats</t>
  </si>
  <si>
    <t xml:space="preserve">         Total 15000 FA - Camp</t>
  </si>
  <si>
    <t xml:space="preserve">         15700 A/D - Camp</t>
  </si>
  <si>
    <t xml:space="preserve">            15110 Buildings - A/D</t>
  </si>
  <si>
    <t xml:space="preserve">            15210 Improvements - A/D</t>
  </si>
  <si>
    <t xml:space="preserve">            15320 Furniture &amp; Fixtures - A/D</t>
  </si>
  <si>
    <t xml:space="preserve">            15450 Vehicles &amp; Boats - A/D</t>
  </si>
  <si>
    <t xml:space="preserve">               15311 Boats - A/D</t>
  </si>
  <si>
    <t xml:space="preserve">               15341 Vehicles - A/D</t>
  </si>
  <si>
    <t xml:space="preserve">            Total 15450 Vehicles &amp; Boats - A/D</t>
  </si>
  <si>
    <t xml:space="preserve">         Total 15700 A/D - Camp</t>
  </si>
  <si>
    <t xml:space="preserve">      Total 10000 Presbytery</t>
  </si>
  <si>
    <t xml:space="preserve">   Total Fixed Assets</t>
  </si>
  <si>
    <t xml:space="preserve">   Other Assets</t>
  </si>
  <si>
    <t xml:space="preserve">      300 Marketable Securities</t>
  </si>
  <si>
    <t xml:space="preserve">         301 Smith Barney MM - 13902-19</t>
  </si>
  <si>
    <t xml:space="preserve">         301.1 Morgan Stanley - MM 111909</t>
  </si>
  <si>
    <t xml:space="preserve">            301.11 Cash, MM</t>
  </si>
  <si>
    <t xml:space="preserve">            301.13 Stocks</t>
  </si>
  <si>
    <t xml:space="preserve">            301.14 Mutual Funds</t>
  </si>
  <si>
    <t xml:space="preserve">         Total 301.1 Morgan Stanley - MM 111909</t>
  </si>
  <si>
    <t xml:space="preserve">         302 Endowment- Canoga Church</t>
  </si>
  <si>
    <t xml:space="preserve">         303 Endowment-Presbytery Gen'l</t>
  </si>
  <si>
    <t xml:space="preserve">         304 Endowment- Camp Whitman</t>
  </si>
  <si>
    <t xml:space="preserve">         401 Int PF GP Endowment</t>
  </si>
  <si>
    <t xml:space="preserve">      Total 300 Marketable Securities</t>
  </si>
  <si>
    <t xml:space="preserve">      555 Property Dissolution of Church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</si>
  <si>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</si>
  <si>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</si>
  <si>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</si>
  <si>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</si>
  <si>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</si>
  <si>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</si>
  <si>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20000 Accounts Payable</t>
  </si>
  <si>
    <t xml:space="preserve">         Total Accounts Payable</t>
  </si>
  <si>
    <t xml:space="preserve">         Credit Cards</t>
  </si>
  <si>
    <t xml:space="preserve">            2850.00 Community Bank</t>
  </si>
  <si>
    <t xml:space="preserve">               2850.10 Elena Delhagen</t>
  </si>
  <si>
    <t xml:space="preserve">               2850.20 Lea Kone</t>
  </si>
  <si>
    <t xml:space="preserve">               2850.25 Susan Orr</t>
  </si>
  <si>
    <t xml:space="preserve">               2850.30 Camp Facility Manager</t>
  </si>
  <si>
    <t xml:space="preserve">               2855.10 Program Director</t>
  </si>
  <si>
    <t xml:space="preserve">               2855.20 Marjorie Ackermann</t>
  </si>
  <si>
    <t xml:space="preserve">            Total 2850.00 Community Bank</t>
  </si>
  <si>
    <t xml:space="preserve">            29500 Bank of America</t>
  </si>
  <si>
    <t xml:space="preserve">               25934 Alvarez, Alicia - 9360</t>
  </si>
  <si>
    <t xml:space="preserve">               29510 BA - K. Jensen - 0246</t>
  </si>
  <si>
    <t xml:space="preserve">               29520 BA - D. Jepsen - 5751</t>
  </si>
  <si>
    <t xml:space="preserve">               29530 BA - LBB - 6199</t>
  </si>
  <si>
    <t xml:space="preserve">               29532 BA  - L Kone - 7721</t>
  </si>
  <si>
    <t xml:space="preserve">               29535 Delhagen, Elena-9814</t>
  </si>
  <si>
    <t xml:space="preserve">               29536 Orr, Susan - 6712</t>
  </si>
  <si>
    <t xml:space="preserve">            Total 29500 Bank of America</t>
  </si>
  <si>
    <t xml:space="preserve">         Total Credit Cards</t>
  </si>
  <si>
    <t xml:space="preserve">         Other Current Liabilities</t>
  </si>
  <si>
    <t xml:space="preserve">            26000 CB - Building Loan</t>
  </si>
  <si>
    <t xml:space="preserve">            26510 Due to</t>
  </si>
  <si>
    <t xml:space="preserve">            26550 Deferred Revenue</t>
  </si>
  <si>
    <t xml:space="preserve">            26555 Def Revenue Camp</t>
  </si>
  <si>
    <t xml:space="preserve">            26660 Accrued Payroll</t>
  </si>
  <si>
    <t xml:space="preserve">            27850 Due To - NCD Special Offering</t>
  </si>
  <si>
    <t xml:space="preserve">            6280 Federal Witholding</t>
  </si>
  <si>
    <t xml:space="preserve">            6285 FICA-Employee Share</t>
  </si>
  <si>
    <t xml:space="preserve">            6290 State Witholding</t>
  </si>
  <si>
    <t xml:space="preserve">            Payroll Liabilities</t>
  </si>
  <si>
    <t xml:space="preserve">               28010 Federal Taxes (941/944)</t>
  </si>
  <si>
    <t xml:space="preserve">               28020 NYS Income Tax</t>
  </si>
  <si>
    <t xml:space="preserve">               CA PIT / SDI</t>
  </si>
  <si>
    <t xml:space="preserve">               CT Income Tax</t>
  </si>
  <si>
    <t xml:space="preserve">               Direct Deposit Payable</t>
  </si>
  <si>
    <t xml:space="preserve">               MA Income Tax</t>
  </si>
  <si>
    <t xml:space="preserve">               ME Income Tax</t>
  </si>
  <si>
    <t xml:space="preserve">               MEMBER DENTAL</t>
  </si>
  <si>
    <t xml:space="preserve">               NY PFL</t>
  </si>
  <si>
    <t xml:space="preserve">               NY SDI</t>
  </si>
  <si>
    <t xml:space="preserve">               NYS Employment Taxes</t>
  </si>
  <si>
    <t xml:space="preserve">            Total Payroll Liabilities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</si>
  <si>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</si>
  <si>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</si>
  <si>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</si>
  <si>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</si>
  <si>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3200.00 Net Assets without Restrictions</t>
  </si>
  <si>
    <t xml:space="preserve">         3200.10 Operations</t>
  </si>
  <si>
    <t xml:space="preserve">         3200.20 Board Designated</t>
  </si>
  <si>
    <t xml:space="preserve">      Total 3200.00 Net Assets without Restrictions</t>
  </si>
  <si>
    <t xml:space="preserve">      32000 Unrestricted Net Assets</t>
  </si>
  <si>
    <t xml:space="preserve">      3440.00 Net Assets with Restrictions</t>
  </si>
  <si>
    <t xml:space="preserve">         3440.10 Perm. Restricted Net Assets</t>
  </si>
  <si>
    <t xml:space="preserve">         3440.15 TR - Purpose</t>
  </si>
  <si>
    <t xml:space="preserve">         3440.30 TR - Time Restricted</t>
  </si>
  <si>
    <t xml:space="preserve">         3440.40 TR-Unappropriated Endowment Earnings</t>
  </si>
  <si>
    <t xml:space="preserve">      Total 3440.00 Net Assets with Restrictions</t>
  </si>
  <si>
    <t xml:space="preserve">      800 Opening Bal Equity</t>
  </si>
  <si>
    <t xml:space="preserve">      Net Income</t>
  </si>
  <si>
    <t xml:space="preserve">   Total Equity</t>
  </si>
  <si>
    <t>TOTAL LIABILITIES AND EQUITY</t>
  </si>
  <si>
    <t xml:space="preserve">Budget Overview: Operating &amp; Mission 2022 - FY22 P&amp;L </t>
  </si>
  <si>
    <t>Income</t>
  </si>
  <si>
    <t xml:space="preserve">   4000.00 Presbytery Receipts</t>
  </si>
  <si>
    <t xml:space="preserve">      4200.00 Mission - Presbytery</t>
  </si>
  <si>
    <t xml:space="preserve">         3100_M Presbytery Mission</t>
  </si>
  <si>
    <t xml:space="preserve">      Total 4200.00 Mission - Presbytery</t>
  </si>
  <si>
    <t xml:space="preserve">      4200_OP Per Capita</t>
  </si>
  <si>
    <t xml:space="preserve">         4200 Operation</t>
  </si>
  <si>
    <t xml:space="preserve">            4200_O Presbytery Per Capita</t>
  </si>
  <si>
    <t xml:space="preserve">         Total 4200 Operation</t>
  </si>
  <si>
    <t xml:space="preserve">      Total 4200_OP Per Capita</t>
  </si>
  <si>
    <t xml:space="preserve">      4303.00 Other Presbytery Reciepts</t>
  </si>
  <si>
    <t xml:space="preserve">         3200 Synod</t>
  </si>
  <si>
    <t xml:space="preserve">            3200_M Synod Mission</t>
  </si>
  <si>
    <t xml:space="preserve">         Total 3200 Synod</t>
  </si>
  <si>
    <t xml:space="preserve">         4440_O Miscellaneous</t>
  </si>
  <si>
    <t xml:space="preserve">            4500.O Interest</t>
  </si>
  <si>
    <t xml:space="preserve">            Undistributed Income</t>
  </si>
  <si>
    <t xml:space="preserve">            4404_O Other</t>
  </si>
  <si>
    <t xml:space="preserve">         Total 4440_O Miscellaneous</t>
  </si>
  <si>
    <t xml:space="preserve">      Total 4303.00 Other Presbytery Reciepts</t>
  </si>
  <si>
    <t xml:space="preserve">   Total 4000.00 Presbytery Receipts</t>
  </si>
  <si>
    <t>Total Income</t>
  </si>
  <si>
    <t>Gross Profit</t>
  </si>
  <si>
    <t>Expenses</t>
  </si>
  <si>
    <t xml:space="preserve">   2222.00 Presbytery Expenses</t>
  </si>
  <si>
    <t xml:space="preserve">      6000_O Salaries and Benefits</t>
  </si>
  <si>
    <t xml:space="preserve">         6001_O Executive Salaries</t>
  </si>
  <si>
    <t xml:space="preserve">            6050_O Presbytery Leader</t>
  </si>
  <si>
    <t xml:space="preserve">               6051_O Cash Salary - Operations</t>
  </si>
  <si>
    <t xml:space="preserve">               6053_O SECA Offset/FICA</t>
  </si>
  <si>
    <t xml:space="preserve">               6052_O Housing</t>
  </si>
  <si>
    <t xml:space="preserve">               6056_O Board of Pensions</t>
  </si>
  <si>
    <t xml:space="preserve">               6057_O Study Leave</t>
  </si>
  <si>
    <t xml:space="preserve">               6058_O Travel/Business </t>
  </si>
  <si>
    <t xml:space="preserve">             6058_M - Travel Business Mission</t>
  </si>
  <si>
    <t xml:space="preserve">               6060_O - Fidelity - Retirement</t>
  </si>
  <si>
    <t xml:space="preserve">            Total 6050_O Presbytery Leader</t>
  </si>
  <si>
    <t xml:space="preserve">         Total 6001_O Executive Salaries</t>
  </si>
  <si>
    <t xml:space="preserve">         6020_O Stated Clerk</t>
  </si>
  <si>
    <t xml:space="preserve">            6021_O Cash Salary</t>
  </si>
  <si>
    <t xml:space="preserve">            6027_O Per diem</t>
  </si>
  <si>
    <t xml:space="preserve">            6023_O Seca Offset/Fica</t>
  </si>
  <si>
    <t xml:space="preserve">            6027_O Travel/Business</t>
  </si>
  <si>
    <t xml:space="preserve">         Total 6020_O Stated Clerk</t>
  </si>
  <si>
    <t xml:space="preserve">         6030_O Administrative Service</t>
  </si>
  <si>
    <t xml:space="preserve">            6031_O Cash Salary - Communication</t>
  </si>
  <si>
    <t xml:space="preserve">            6041_O Cash Salary - Financial Assistant</t>
  </si>
  <si>
    <t xml:space="preserve">            6065-O Payroll Taxes</t>
  </si>
  <si>
    <t xml:space="preserve">            6036_O Board of Pension/Fidelity Inv.</t>
  </si>
  <si>
    <t xml:space="preserve">            6795_O Staff Travel</t>
  </si>
  <si>
    <t xml:space="preserve">         Total 6030_O Communication</t>
  </si>
  <si>
    <t xml:space="preserve">         6222_O Benefits</t>
  </si>
  <si>
    <t xml:space="preserve">            6220_O Disability Insurance</t>
  </si>
  <si>
    <t xml:space="preserve">            6250_O Worker's Comp</t>
  </si>
  <si>
    <t xml:space="preserve">            6270_O Unemployment Insurance</t>
  </si>
  <si>
    <t xml:space="preserve">         Total 6222_O Benefits</t>
  </si>
  <si>
    <t xml:space="preserve">      Total 6000_O Salaries and Benefits</t>
  </si>
  <si>
    <t xml:space="preserve">      6800.00 MISSION EXPENDITURES</t>
  </si>
  <si>
    <t xml:space="preserve">         5100_M Presbytery Endorsed Projects</t>
  </si>
  <si>
    <t xml:space="preserve">            5155_M Youth Triennium</t>
  </si>
  <si>
    <t xml:space="preserve">         Total 5100_M Presbytery Endorsed Projects</t>
  </si>
  <si>
    <t xml:space="preserve">         5200_M Mission &amp; Witness (inc. grants)</t>
  </si>
  <si>
    <t xml:space="preserve">         </t>
  </si>
  <si>
    <t xml:space="preserve">         5350_M Mission Allocation to Camp</t>
  </si>
  <si>
    <t xml:space="preserve">          5135_O - New Church Development</t>
  </si>
  <si>
    <t xml:space="preserve">         6500_M Mission Priority of Presbytery</t>
  </si>
  <si>
    <t xml:space="preserve">            6504_M Leader Care</t>
  </si>
  <si>
    <t xml:space="preserve">            6509_M Vitality</t>
  </si>
  <si>
    <t xml:space="preserve">            6511_M Committee on Ministry</t>
  </si>
  <si>
    <t xml:space="preserve">         Total 6500_M Mission Priority of Presbytery</t>
  </si>
  <si>
    <t xml:space="preserve">      Total 6800.00 MISSION EXPENDITURES</t>
  </si>
  <si>
    <t xml:space="preserve">      7100.00 Operating Expenses</t>
  </si>
  <si>
    <t xml:space="preserve">         6600_O Office Expenses</t>
  </si>
  <si>
    <t xml:space="preserve">            6615_O Maintenance &amp; Repairs</t>
  </si>
  <si>
    <t xml:space="preserve">            6620_O Utilities</t>
  </si>
  <si>
    <t xml:space="preserve">            6630_O Telephone</t>
  </si>
  <si>
    <t xml:space="preserve">            6640_O Postage/PO Box</t>
  </si>
  <si>
    <t xml:space="preserve">            6651_O Bank Fees</t>
  </si>
  <si>
    <t xml:space="preserve">            6655_O Equip. Leases/Service Contracts</t>
  </si>
  <si>
    <t xml:space="preserve">            6660_O Equipment Purchases</t>
  </si>
  <si>
    <t xml:space="preserve">            6661_O Computer Software-Hardware</t>
  </si>
  <si>
    <t xml:space="preserve">            6662_O Committee Expenses</t>
  </si>
  <si>
    <t xml:space="preserve">            6665_O Website</t>
  </si>
  <si>
    <t xml:space="preserve">            6670_O Office Supplies &amp; Hospitality</t>
  </si>
  <si>
    <t xml:space="preserve">           6756_O - Home Office reimbursement</t>
  </si>
  <si>
    <t xml:space="preserve">            6685_O Staff Development</t>
  </si>
  <si>
    <t xml:space="preserve">            6856_O Rent Storage Space</t>
  </si>
  <si>
    <t xml:space="preserve">            6715_O -  Dues</t>
  </si>
  <si>
    <t xml:space="preserve">            6755_O Building Loan</t>
  </si>
  <si>
    <t xml:space="preserve">         Total 6600_O Office Expenses</t>
  </si>
  <si>
    <t xml:space="preserve">         6700 Other Operating Expenses</t>
  </si>
  <si>
    <t xml:space="preserve">            6720_O Insurance-Office</t>
  </si>
  <si>
    <t xml:space="preserve">            6730_O Synod Per Capita</t>
  </si>
  <si>
    <t xml:space="preserve">            6740_O GA Per Capita</t>
  </si>
  <si>
    <t xml:space="preserve">            6750_O Legal Expenses</t>
  </si>
  <si>
    <t xml:space="preserve">            6770_O GA/Synod Meetings</t>
  </si>
  <si>
    <t xml:space="preserve">            6775_O Presbytery Meeting Expenses</t>
  </si>
  <si>
    <t xml:space="preserve">            6790_O Moving Expenses</t>
  </si>
  <si>
    <t xml:space="preserve">            6799_O Adj for Uncollectables</t>
  </si>
  <si>
    <t xml:space="preserve">            6800 Outside Contractors</t>
  </si>
  <si>
    <t xml:space="preserve">               6810_O Payroll Service</t>
  </si>
  <si>
    <t xml:space="preserve">              6840_O Computer Services</t>
  </si>
  <si>
    <t xml:space="preserve">               6820_O Bookkeeping</t>
  </si>
  <si>
    <t xml:space="preserve">            Total 6800 Outside Contractors</t>
  </si>
  <si>
    <t xml:space="preserve">            6900 Professional Fees</t>
  </si>
  <si>
    <t xml:space="preserve">               6910_O Auditor Contract</t>
  </si>
  <si>
    <t xml:space="preserve">            Total 6900 Professional Fees</t>
  </si>
  <si>
    <t xml:space="preserve">         Total 6700 Other Operating Expenses</t>
  </si>
  <si>
    <t xml:space="preserve">      Total 7100.00 Operating Expenses</t>
  </si>
  <si>
    <t xml:space="preserve">   Total 2222.00 Presbytery Expenses</t>
  </si>
  <si>
    <t>Total Expenses</t>
  </si>
  <si>
    <t>Net Operating Income</t>
  </si>
  <si>
    <t>Net Income</t>
  </si>
  <si>
    <t>Net Camp Activity</t>
  </si>
  <si>
    <t>Income YTD - New Covenent - Operations</t>
  </si>
  <si>
    <t>Depreciation (Building Sale</t>
  </si>
  <si>
    <t>Prior Year adjustment</t>
  </si>
  <si>
    <t>Net Dedicated Accounts</t>
  </si>
  <si>
    <t>Ties to Balance Sheet</t>
  </si>
  <si>
    <t xml:space="preserve">Budget Overview: Camp 2022 Budget - FY21 P&amp;L </t>
  </si>
  <si>
    <t xml:space="preserve">   4999 CAMP WHITMAN INCOME</t>
  </si>
  <si>
    <t xml:space="preserve">      1001_W Camper &amp; Group Fees</t>
  </si>
  <si>
    <t xml:space="preserve">         1000_W Camper Fees</t>
  </si>
  <si>
    <t xml:space="preserve">         1050_W Rental Group Fees</t>
  </si>
  <si>
    <t xml:space="preserve">         1100_W Holiday Weekend Rental Fees</t>
  </si>
  <si>
    <t xml:space="preserve">         1557_W Meals/Program Fees</t>
  </si>
  <si>
    <t xml:space="preserve">      Total 1001_W Camper &amp; Group Fees</t>
  </si>
  <si>
    <t xml:space="preserve">      1601_W Other Donations</t>
  </si>
  <si>
    <t xml:space="preserve">         1300_W Camp Mission/Scholarship Income</t>
  </si>
  <si>
    <t xml:space="preserve">            1301_W Misc Camper Donations/Scholar.</t>
  </si>
  <si>
    <t xml:space="preserve">            1350_W Pres. of Genesee Local Church</t>
  </si>
  <si>
    <t xml:space="preserve">            1400_W Pres. of Genesee Valley Mission</t>
  </si>
  <si>
    <t xml:space="preserve">            1450_W Pres. of Geneva Churches</t>
  </si>
  <si>
    <t xml:space="preserve">            1500_W Pres. of Geneva Endowment Int</t>
  </si>
  <si>
    <t xml:space="preserve">            1550_W Pres. of Geneva Mission Pledge</t>
  </si>
  <si>
    <t xml:space="preserve">            1551_W Membership Dues</t>
  </si>
  <si>
    <t xml:space="preserve">         Total 1300_W Camp Mission/Scholarship Income</t>
  </si>
  <si>
    <t xml:space="preserve">         1600_W Misc. Income</t>
  </si>
  <si>
    <t xml:space="preserve">         Undistributed Income</t>
  </si>
  <si>
    <t xml:space="preserve">         1665_W Interest</t>
  </si>
  <si>
    <t xml:space="preserve">         1610_W Fund Raising Events</t>
  </si>
  <si>
    <t xml:space="preserve">          Undistributed income</t>
  </si>
  <si>
    <t xml:space="preserve">         1662_W Camp Store</t>
  </si>
  <si>
    <t xml:space="preserve">      Total 1601_W Other Donations</t>
  </si>
  <si>
    <t xml:space="preserve">   Total 4999 CAMP WHITMAN INCOME</t>
  </si>
  <si>
    <t xml:space="preserve">   2111 CAMP WHITMAN EXPENDITURES</t>
  </si>
  <si>
    <t xml:space="preserve">      2000.20 Camp Summer Salaries</t>
  </si>
  <si>
    <t xml:space="preserve">         2010_W Aquatic Director</t>
  </si>
  <si>
    <t xml:space="preserve">        2015_W Office Assistant</t>
  </si>
  <si>
    <t xml:space="preserve">        2020_W Program Staff/Life Guards</t>
  </si>
  <si>
    <t xml:space="preserve">         2032_W Nurse</t>
  </si>
  <si>
    <t xml:space="preserve">         2040_W Head Cook</t>
  </si>
  <si>
    <t xml:space="preserve">         2045_W Assistant Cook</t>
  </si>
  <si>
    <t xml:space="preserve">         2060_W Prep Cook/Dishwasher (2)</t>
  </si>
  <si>
    <t xml:space="preserve">         2070_W Housekeeper/Maint Assist</t>
  </si>
  <si>
    <t xml:space="preserve">         2090_W DD Camp Coordinator</t>
  </si>
  <si>
    <t xml:space="preserve">            2100_W Graded Camp/Program  Co-ordinator</t>
  </si>
  <si>
    <t xml:space="preserve">         2101_W CIT &amp; Mission Trip Leader</t>
  </si>
  <si>
    <t xml:space="preserve">                       Rental Group Host</t>
  </si>
  <si>
    <t xml:space="preserve">                       Housekeeping</t>
  </si>
  <si>
    <t xml:space="preserve">         2103_W Chaplain Intern</t>
  </si>
  <si>
    <t xml:space="preserve">         2106_W Video/Media</t>
  </si>
  <si>
    <t xml:space="preserve">         2102_W Program Director</t>
  </si>
  <si>
    <t xml:space="preserve">         2110_W Counselors</t>
  </si>
  <si>
    <t xml:space="preserve">      Total 2000.20 Camp Summer Salaries</t>
  </si>
  <si>
    <t xml:space="preserve">      2113_W Year Round Staff Salaries</t>
  </si>
  <si>
    <t xml:space="preserve">         2603_W Camp Director</t>
  </si>
  <si>
    <t xml:space="preserve">            2661_W Cash Salary</t>
  </si>
  <si>
    <t xml:space="preserve">            2663_W Board of Pension</t>
  </si>
  <si>
    <t xml:space="preserve">         Total 2603_W Camp Director</t>
  </si>
  <si>
    <t xml:space="preserve">         2604_W Camp Property Manager</t>
  </si>
  <si>
    <t xml:space="preserve">            2665_W Cash Salary</t>
  </si>
  <si>
    <t xml:space="preserve">         Total 2604_W Camp Property Manager</t>
  </si>
  <si>
    <t xml:space="preserve">         2605_W Assistant Property Manager</t>
  </si>
  <si>
    <t xml:space="preserve">            2668_W Cash Salary</t>
  </si>
  <si>
    <t xml:space="preserve">         2611_W Custodian</t>
  </si>
  <si>
    <t xml:space="preserve">            2611_W Cash Salary</t>
  </si>
  <si>
    <t xml:space="preserve">      Total 2113_W Year Round Staff Salaries</t>
  </si>
  <si>
    <t xml:space="preserve">      2117_W Camp Payroll Other</t>
  </si>
  <si>
    <t xml:space="preserve">         2120_W Workers Comp_Camp</t>
  </si>
  <si>
    <t xml:space="preserve">         2125_W FICA_Camp</t>
  </si>
  <si>
    <t xml:space="preserve">         2127_W Recruitement</t>
  </si>
  <si>
    <t xml:space="preserve">         2126_W Other/Outside Contractor</t>
  </si>
  <si>
    <t xml:space="preserve">         2128_W Payroll Service Fees</t>
  </si>
  <si>
    <t xml:space="preserve">         2129_W NYS DBL</t>
  </si>
  <si>
    <t xml:space="preserve">      Total 2117_W Camp Payroll Other</t>
  </si>
  <si>
    <t xml:space="preserve">      2200_W Program Expense</t>
  </si>
  <si>
    <t xml:space="preserve">         2205_W Bank Fees</t>
  </si>
  <si>
    <t xml:space="preserve">         2099_W Uncategorized Expenses Camp</t>
  </si>
  <si>
    <t xml:space="preserve">         2210_W Computer Software &amp; Support</t>
  </si>
  <si>
    <t xml:space="preserve">        2222_W Permits</t>
  </si>
  <si>
    <t xml:space="preserve">         2225_W Arts &amp; Crafts</t>
  </si>
  <si>
    <t xml:space="preserve">         2230_W General Program Expenses</t>
  </si>
  <si>
    <t xml:space="preserve">         2232_W Staff Expenses</t>
  </si>
  <si>
    <t xml:space="preserve">            2235_W Mileage/Meals for Staff</t>
  </si>
  <si>
    <t xml:space="preserve">            2236_W Staff Appreciation</t>
  </si>
  <si>
    <t xml:space="preserve">            2254_W Staff Travel</t>
  </si>
  <si>
    <t xml:space="preserve">         Total 2232_W Staff Expenses</t>
  </si>
  <si>
    <t xml:space="preserve">         2243_W Committee Exp.</t>
  </si>
  <si>
    <t xml:space="preserve">         2251_W Office Expenses/Support</t>
  </si>
  <si>
    <t xml:space="preserve">            2252_W Office Supplies</t>
  </si>
  <si>
    <t xml:space="preserve">            2255_W Postage</t>
  </si>
  <si>
    <t xml:space="preserve">         Total 2251_W Office Expenses/Support</t>
  </si>
  <si>
    <t xml:space="preserve">         2256_W Professional Developement</t>
  </si>
  <si>
    <t xml:space="preserve">         2265_W Staff Training</t>
  </si>
  <si>
    <t xml:space="preserve">         2270_W Camp Store</t>
  </si>
  <si>
    <t xml:space="preserve">         2271_W Staff T Shirts</t>
  </si>
  <si>
    <t xml:space="preserve">         2275_W Registration Materials</t>
  </si>
  <si>
    <t xml:space="preserve">         2280_W Program Equipment</t>
  </si>
  <si>
    <t xml:space="preserve">         2290_W Marketing &amp; Advertising</t>
  </si>
  <si>
    <t xml:space="preserve">         2291_W Website</t>
  </si>
  <si>
    <t xml:space="preserve">         2400_W Swimming Pool</t>
  </si>
  <si>
    <t xml:space="preserve">            2410_W Chemicals</t>
  </si>
  <si>
    <t xml:space="preserve">            2420_W Equipment and Repair</t>
  </si>
  <si>
    <t xml:space="preserve">         Total 2400_W Swimming Pool</t>
  </si>
  <si>
    <t xml:space="preserve">         2500_W Lakefront</t>
  </si>
  <si>
    <t xml:space="preserve">            2510_W Boat Maintenance &amp; Repair</t>
  </si>
  <si>
    <t xml:space="preserve">            2530_W Equipment &amp; Repair</t>
  </si>
  <si>
    <t xml:space="preserve">         Total 2500_W Lakefront</t>
  </si>
  <si>
    <t xml:space="preserve">         2600_W Medical</t>
  </si>
  <si>
    <t xml:space="preserve">            2610_W Medical Supplies &amp; Equipment</t>
  </si>
  <si>
    <t xml:space="preserve">         Total 2600_W Medical</t>
  </si>
  <si>
    <t xml:space="preserve">         2700_W Kitchen</t>
  </si>
  <si>
    <t xml:space="preserve">            2710_W Food</t>
  </si>
  <si>
    <t xml:space="preserve">            2720_W Kitchen &amp; Cleaning Supplies</t>
  </si>
  <si>
    <t xml:space="preserve">            2730_W Equipment &amp; Repair</t>
  </si>
  <si>
    <t xml:space="preserve">            2731_W Kitchen Supplies/Equipment</t>
  </si>
  <si>
    <t xml:space="preserve">         Total 2700_W Kitchen</t>
  </si>
  <si>
    <t xml:space="preserve">         2725_W Fund Raising Expenses</t>
  </si>
  <si>
    <t xml:space="preserve">         2750_W Permits/Memberships</t>
  </si>
  <si>
    <t xml:space="preserve">      Total 2200_W Program Expense</t>
  </si>
  <si>
    <t xml:space="preserve">      2500.00 Camp Operating Expenses</t>
  </si>
  <si>
    <t xml:space="preserve">         2150_W Insurance</t>
  </si>
  <si>
    <t xml:space="preserve">            2154_W Vehicle</t>
  </si>
  <si>
    <t xml:space="preserve">            2155_W Property/Liability/Accident</t>
  </si>
  <si>
    <t xml:space="preserve">         Total 2150_W Insurance</t>
  </si>
  <si>
    <t xml:space="preserve">         2300_W Utilities</t>
  </si>
  <si>
    <t xml:space="preserve">            2310_W Telephone &amp; Internet</t>
  </si>
  <si>
    <t xml:space="preserve">            2320_W Electric</t>
  </si>
  <si>
    <t xml:space="preserve">            2330_W Propane Gas</t>
  </si>
  <si>
    <t xml:space="preserve">         Total 2300_W Utilities</t>
  </si>
  <si>
    <t xml:space="preserve">         2800_W Vehicle Maintenance</t>
  </si>
  <si>
    <t xml:space="preserve">            2810_W Cars &amp; Trucks</t>
  </si>
  <si>
    <t xml:space="preserve">            2820_W Tractor</t>
  </si>
  <si>
    <t xml:space="preserve">            2830_W Golf Carts</t>
  </si>
  <si>
    <t xml:space="preserve">            2840_W Mower</t>
  </si>
  <si>
    <t xml:space="preserve">            2850_W Fuel</t>
  </si>
  <si>
    <t xml:space="preserve">            2860_W Large Equip</t>
  </si>
  <si>
    <t xml:space="preserve">            2865_W Vehicle Rental</t>
  </si>
  <si>
    <t xml:space="preserve">         Total 2800_W Vehicle Maintenance</t>
  </si>
  <si>
    <t xml:space="preserve">         2900 General Maintenance</t>
  </si>
  <si>
    <t xml:space="preserve">            2910_W Small Equipment Repair</t>
  </si>
  <si>
    <t xml:space="preserve">            2920_W New Equipment &amp; Tools</t>
  </si>
  <si>
    <t xml:space="preserve">            2930_W Pump Holding Tanks</t>
  </si>
  <si>
    <t xml:space="preserve">            2940_W Port a Johns</t>
  </si>
  <si>
    <t xml:space="preserve">            2950_W Refuse Removal Fees</t>
  </si>
  <si>
    <t xml:space="preserve">            2960_W Fire Extinguishers</t>
  </si>
  <si>
    <t xml:space="preserve">            2970_W General Supplies</t>
  </si>
  <si>
    <t xml:space="preserve">            2980_W Water System Supplies &amp; Repairs</t>
  </si>
  <si>
    <t xml:space="preserve">            2995_W - Outside Contractors</t>
  </si>
  <si>
    <t xml:space="preserve">            2990_W Lumber &amp; Building Supplies</t>
  </si>
  <si>
    <t xml:space="preserve">         Total 2900 General Maintenance</t>
  </si>
  <si>
    <t xml:space="preserve">      Total 2500.00 Camp Operating Expenses</t>
  </si>
  <si>
    <t xml:space="preserve">   Total 2111 CAMP WHITMAN EXPENDITURES</t>
  </si>
  <si>
    <t xml:space="preserve">Gains/Interest/losses - New Covenant  </t>
  </si>
  <si>
    <t>Net Operating/Missions- income/expenses</t>
  </si>
  <si>
    <t>Net Other Other - Investment gains/losses</t>
  </si>
  <si>
    <t>Net Other Income/other expenses</t>
  </si>
  <si>
    <t>Profit and Loss by Class</t>
  </si>
  <si>
    <t>January - December 2022</t>
  </si>
  <si>
    <t>Camp</t>
  </si>
  <si>
    <t>Dedicated</t>
  </si>
  <si>
    <t>Missions</t>
  </si>
  <si>
    <t>Operations</t>
  </si>
  <si>
    <t>Not Specified</t>
  </si>
  <si>
    <t>TOTAL</t>
  </si>
  <si>
    <t xml:space="preserve">         3101_M PM - YTD A/R Adj</t>
  </si>
  <si>
    <t xml:space="preserve">            4202_O PC - YTD A/R Adj</t>
  </si>
  <si>
    <t xml:space="preserve">            4500_O Interest Income</t>
  </si>
  <si>
    <t xml:space="preserve">            4512_O Uncategorized Income - Ops</t>
  </si>
  <si>
    <t xml:space="preserve">      1700_W Undistributed Income - Camp</t>
  </si>
  <si>
    <t xml:space="preserve">   Services</t>
  </si>
  <si>
    <t xml:space="preserve">         2020_W Program Staff/Life Guards</t>
  </si>
  <si>
    <t xml:space="preserve">         2100_W Traditional Coordinator</t>
  </si>
  <si>
    <t xml:space="preserve">         2104_W Weekend Hosts/Caretakers</t>
  </si>
  <si>
    <t xml:space="preserve">         Total 2605_W Assistant Property Manager</t>
  </si>
  <si>
    <t xml:space="preserve">         2125_W Payroll Taxes - Camp</t>
  </si>
  <si>
    <t xml:space="preserve">         2126_W Other</t>
  </si>
  <si>
    <t xml:space="preserve">         2099_W Uncategorized Expense - Camp</t>
  </si>
  <si>
    <t xml:space="preserve">         2205_W BankFees/Commissions</t>
  </si>
  <si>
    <t xml:space="preserve">         2222_W Permits/Memberships</t>
  </si>
  <si>
    <t xml:space="preserve">            2995_W Outside Contractors</t>
  </si>
  <si>
    <t xml:space="preserve">               6053_O Payroll Taxes - Opertions</t>
  </si>
  <si>
    <t xml:space="preserve">               6054_O Major Medical/Dental</t>
  </si>
  <si>
    <t xml:space="preserve">               6056_O Board of Pensions/Medical</t>
  </si>
  <si>
    <t xml:space="preserve">               6058_M Travel/Business - Mission</t>
  </si>
  <si>
    <t xml:space="preserve">               6058_O Travel/Business</t>
  </si>
  <si>
    <t xml:space="preserve">               6153_O SECA Offset</t>
  </si>
  <si>
    <t xml:space="preserve">            6022_O Per Diem</t>
  </si>
  <si>
    <t xml:space="preserve">            6023_O Payroll Taxes</t>
  </si>
  <si>
    <t xml:space="preserve">            6031_O Cash Salary - Communications</t>
  </si>
  <si>
    <t xml:space="preserve">            6038_O Payroll Taxes - Communications</t>
  </si>
  <si>
    <t xml:space="preserve">            6041_O Cash Salary (Financial Assistant)</t>
  </si>
  <si>
    <t xml:space="preserve">            6046_O Payroll Taxes - Finance</t>
  </si>
  <si>
    <t xml:space="preserve">            6265_O Payroll Taxes - Admin Services</t>
  </si>
  <si>
    <t xml:space="preserve">         Total 6030_O Administrative Service</t>
  </si>
  <si>
    <t xml:space="preserve">               6502_O Committee on Ministry</t>
  </si>
  <si>
    <t xml:space="preserve">            Total 6662_O Committee Expenses</t>
  </si>
  <si>
    <t xml:space="preserve">            6715_O Dues &amp; Subscriptions</t>
  </si>
  <si>
    <t xml:space="preserve">            6756_O Home Office Reimbursement</t>
  </si>
  <si>
    <t xml:space="preserve">               6840_O Computer Services</t>
  </si>
  <si>
    <t xml:space="preserve">   Payroll Expenses</t>
  </si>
  <si>
    <t xml:space="preserve">      Taxes</t>
  </si>
  <si>
    <t xml:space="preserve">      Wages</t>
  </si>
  <si>
    <t xml:space="preserve">   Total Payroll Expenses</t>
  </si>
  <si>
    <t>Other Income</t>
  </si>
  <si>
    <t xml:space="preserve">   7000 DEDICATED INCOME</t>
  </si>
  <si>
    <t xml:space="preserve">      7050_D Candidates Grant Fund</t>
  </si>
  <si>
    <t xml:space="preserve">      7111_D Camp _ TR</t>
  </si>
  <si>
    <t xml:space="preserve">         7003_D Capital Campaign</t>
  </si>
  <si>
    <t xml:space="preserve">         7227_D Gift in Kind Camp Capital</t>
  </si>
  <si>
    <t xml:space="preserve">         7228_D Synod Grant Camp</t>
  </si>
  <si>
    <t xml:space="preserve">         7229_D Hattie Hardman Fund</t>
  </si>
  <si>
    <t xml:space="preserve">         7230_D USDA-NRCS</t>
  </si>
  <si>
    <t xml:space="preserve">      Total 7111_D Camp _ TR</t>
  </si>
  <si>
    <t xml:space="preserve">      7125_D Sale of Building</t>
  </si>
  <si>
    <t xml:space="preserve">      7150_D Two-Cents-A-Meal</t>
  </si>
  <si>
    <t xml:space="preserve">      7155_D Fusion On Fire</t>
  </si>
  <si>
    <t xml:space="preserve">      7290_D Youth Triennium</t>
  </si>
  <si>
    <t xml:space="preserve">      7325_D In &amp; Out</t>
  </si>
  <si>
    <t xml:space="preserve">   Total 7000 DEDICATED INCOME</t>
  </si>
  <si>
    <t xml:space="preserve">   7777_O Prior Year Adjustment</t>
  </si>
  <si>
    <t xml:space="preserve">   Investment Income Activity</t>
  </si>
  <si>
    <t xml:space="preserve">      4520_D Investment Gains New Covenent</t>
  </si>
  <si>
    <t xml:space="preserve">      4545_O Interest/Dividends-Investments</t>
  </si>
  <si>
    <t xml:space="preserve">   Total Investment Income Activity</t>
  </si>
  <si>
    <t>Total Other Income</t>
  </si>
  <si>
    <t>Other Expenses</t>
  </si>
  <si>
    <t xml:space="preserve">   6899_W Losses On Investments</t>
  </si>
  <si>
    <t xml:space="preserve">   8000 DEDICATED EXPENSES</t>
  </si>
  <si>
    <t xml:space="preserve">      8030_D Two-Cents-A-Meal</t>
  </si>
  <si>
    <t xml:space="preserve">      8052_D Emergency Pastoral Care Fund</t>
  </si>
  <si>
    <t xml:space="preserve">      8111_D Camp - TR</t>
  </si>
  <si>
    <t xml:space="preserve">         8002_D CW Maintenance Fund</t>
  </si>
  <si>
    <t xml:space="preserve">         8007_D USDA-NRCS</t>
  </si>
  <si>
    <t xml:space="preserve">         8018_D SYNOD Grant</t>
  </si>
  <si>
    <t xml:space="preserve">            8008_D Camp Synod Grant</t>
  </si>
  <si>
    <t xml:space="preserve">            8009 Synod Grant Payroll</t>
  </si>
  <si>
    <t xml:space="preserve">         Total 8018_D SYNOD Grant</t>
  </si>
  <si>
    <t xml:space="preserve">         8195_D Capital Campaign</t>
  </si>
  <si>
    <t xml:space="preserve">         8196 GIK - Camp</t>
  </si>
  <si>
    <t xml:space="preserve">         8229_D Hattie Hardmann Fund</t>
  </si>
  <si>
    <t xml:space="preserve">      Total 8111_D Camp - TR</t>
  </si>
  <si>
    <t xml:space="preserve">      8175_D In &amp; Out</t>
  </si>
  <si>
    <t xml:space="preserve">      8290_D Board Designated Funds</t>
  </si>
  <si>
    <t xml:space="preserve">         8090_D Youth Triennium</t>
  </si>
  <si>
    <t xml:space="preserve">         8156_D Camp Whitman Scholarships</t>
  </si>
  <si>
    <t xml:space="preserve">      Total 8290_D Board Designated Funds</t>
  </si>
  <si>
    <t xml:space="preserve">   Total 8000 DEDICATED EXPENSES</t>
  </si>
  <si>
    <t xml:space="preserve">   9999_O Other Expenses</t>
  </si>
  <si>
    <t xml:space="preserve">      6796_O Investment Losses</t>
  </si>
  <si>
    <t xml:space="preserve">   Total 9999_O Other Expenses</t>
  </si>
  <si>
    <t>Total Other Expenses</t>
  </si>
  <si>
    <t>Net Other Income</t>
  </si>
  <si>
    <t>Restricted Accounts</t>
  </si>
  <si>
    <t>Balance</t>
  </si>
  <si>
    <t>Subtractions</t>
  </si>
  <si>
    <t>Exp AC#</t>
  </si>
  <si>
    <t>Updated from 2021 Audit 5/31/22</t>
  </si>
  <si>
    <t>Restricted
Income</t>
  </si>
  <si>
    <t>Reallocations General</t>
  </si>
  <si>
    <t>Other Budget Support Fund Expenses</t>
  </si>
  <si>
    <t>Released /
Reclassed</t>
  </si>
  <si>
    <t>Unrestricted Funds</t>
  </si>
  <si>
    <t>8124_D</t>
  </si>
  <si>
    <t>Small Church Fund</t>
  </si>
  <si>
    <t>8156_D</t>
  </si>
  <si>
    <t>Camp Whitman Scholarships</t>
  </si>
  <si>
    <t>8850_D</t>
  </si>
  <si>
    <t>Budget Support Fund</t>
  </si>
  <si>
    <t>8851_D</t>
  </si>
  <si>
    <t>Budget Support Fund - West Fayette</t>
  </si>
  <si>
    <t>8852_D</t>
  </si>
  <si>
    <t>Budget Support Fund - Lodi</t>
  </si>
  <si>
    <t>8853_D</t>
  </si>
  <si>
    <t>Budget Support - Mission</t>
  </si>
  <si>
    <t>Vitality</t>
  </si>
  <si>
    <t>8090_D</t>
  </si>
  <si>
    <t>Youth Triennium</t>
  </si>
  <si>
    <t>Board Designated</t>
  </si>
  <si>
    <t>Camp - Temporarily Restricted</t>
  </si>
  <si>
    <t>Capital Campaign   SHB</t>
  </si>
  <si>
    <t>8195_D</t>
  </si>
  <si>
    <t>GIK - Camp</t>
  </si>
  <si>
    <t>8002_D</t>
  </si>
  <si>
    <t>CW Equipment Fund</t>
  </si>
  <si>
    <t>8006_D</t>
  </si>
  <si>
    <t>Camp Site and Appraisal</t>
  </si>
  <si>
    <t>8008_D</t>
  </si>
  <si>
    <t>Synod Grant Camp</t>
  </si>
  <si>
    <t>8009_D</t>
  </si>
  <si>
    <t>Synod Grant Payroll</t>
  </si>
  <si>
    <t>8007_D</t>
  </si>
  <si>
    <t>USDA_NRCS</t>
  </si>
  <si>
    <t>8229_D</t>
  </si>
  <si>
    <t>Hattie Hardman Fund</t>
  </si>
  <si>
    <t>8001_D</t>
  </si>
  <si>
    <t>Labyrinth at Camp</t>
  </si>
  <si>
    <t>Ministry Support - Temporarily Restricted</t>
  </si>
  <si>
    <t>8100_D</t>
  </si>
  <si>
    <t>Two-Cents-A-Meal</t>
  </si>
  <si>
    <t>8171_D</t>
  </si>
  <si>
    <t>Hay Grant</t>
  </si>
  <si>
    <t>Fusion on Fire</t>
  </si>
  <si>
    <t>8180_D</t>
  </si>
  <si>
    <t>Vital Congregations Work</t>
  </si>
  <si>
    <t>Continuing Education Scholarhips for Leaders</t>
  </si>
  <si>
    <t>8175_D</t>
  </si>
  <si>
    <t>In/Out</t>
  </si>
  <si>
    <t>8010_D</t>
  </si>
  <si>
    <t>Candidates Grant Fund</t>
  </si>
  <si>
    <t>8020_D</t>
  </si>
  <si>
    <t>Emergency Pastoral Care fund</t>
  </si>
  <si>
    <t>8050_D</t>
  </si>
  <si>
    <t>Peacemaking</t>
  </si>
  <si>
    <t>Presbytery Disaster Relief</t>
  </si>
  <si>
    <t>West Virginia Mission</t>
  </si>
  <si>
    <t>Interest in Life Income Charitable gifts</t>
  </si>
  <si>
    <t>Unappropriated Endow Earnings - rest camp</t>
  </si>
  <si>
    <t>unappropriated Endow Earnings -</t>
  </si>
  <si>
    <t>Permanently Restricted Funds</t>
  </si>
  <si>
    <t>Camp Whitman Endowment</t>
  </si>
  <si>
    <t>8165_D</t>
  </si>
  <si>
    <t>Presbytery General Endowment</t>
  </si>
  <si>
    <t>Restricted Income &amp;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</si>
</sst>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* #,##0.00\ _€"/>
    <numFmt numFmtId="166" formatCode="#,##0.00\ _€"/>
    <numFmt numFmtId="167" formatCode="&quot;$&quot;#,##0.00"/>
    <numFmt numFmtId="168" formatCode="[$-409]mmm\-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color indexed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u/>
      <sz val="8"/>
      <name val="Arial"/>
      <family val="2"/>
    </font>
    <font>
      <u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16" fillId="0" borderId="0" applyFont="0" applyFill="0" applyBorder="0" applyAlignment="0" applyProtection="0"/>
    <xf numFmtId="0" fontId="16" fillId="0" borderId="0"/>
  </cellStyleXfs>
  <cellXfs count="137">
    <xf numFmtId="0" fontId="0" fillId="0" borderId="0" xfId="0"/>
    <xf numFmtId="0" fontId="4" fillId="0" borderId="0" xfId="3" applyFont="1"/>
    <xf numFmtId="0" fontId="5" fillId="0" borderId="0" xfId="0" applyFont="1"/>
    <xf numFmtId="17" fontId="6" fillId="0" borderId="0" xfId="3" applyNumberFormat="1" applyFont="1" applyAlignment="1">
      <alignment horizontal="center" vertical="top"/>
    </xf>
    <xf numFmtId="8" fontId="4" fillId="0" borderId="1" xfId="3" applyNumberFormat="1" applyFont="1" applyBorder="1" applyAlignment="1">
      <alignment horizontal="center" wrapText="1"/>
    </xf>
    <xf numFmtId="0" fontId="7" fillId="0" borderId="0" xfId="3" applyFont="1" applyAlignment="1">
      <alignment horizontal="center"/>
    </xf>
    <xf numFmtId="8" fontId="7" fillId="0" borderId="2" xfId="3" applyNumberFormat="1" applyFont="1" applyBorder="1" applyAlignment="1">
      <alignment horizontal="right"/>
    </xf>
    <xf numFmtId="0" fontId="8" fillId="0" borderId="0" xfId="3" applyFont="1"/>
    <xf numFmtId="8" fontId="8" fillId="0" borderId="2" xfId="3" applyNumberFormat="1" applyFont="1" applyBorder="1" applyAlignment="1">
      <alignment horizontal="right"/>
    </xf>
    <xf numFmtId="8" fontId="4" fillId="0" borderId="2" xfId="3" applyNumberFormat="1" applyFont="1" applyBorder="1" applyAlignment="1">
      <alignment horizontal="right"/>
    </xf>
    <xf numFmtId="0" fontId="8" fillId="0" borderId="0" xfId="3" applyFont="1" applyAlignment="1">
      <alignment horizontal="left" indent="2"/>
    </xf>
    <xf numFmtId="8" fontId="8" fillId="2" borderId="2" xfId="3" applyNumberFormat="1" applyFont="1" applyFill="1" applyBorder="1" applyAlignment="1">
      <alignment horizontal="right"/>
    </xf>
    <xf numFmtId="164" fontId="5" fillId="0" borderId="0" xfId="2" applyNumberFormat="1" applyFont="1"/>
    <xf numFmtId="165" fontId="9" fillId="0" borderId="3" xfId="0" applyNumberFormat="1" applyFont="1" applyBorder="1" applyAlignment="1">
      <alignment horizontal="right" wrapText="1"/>
    </xf>
    <xf numFmtId="8" fontId="5" fillId="0" borderId="0" xfId="0" applyNumberFormat="1" applyFont="1"/>
    <xf numFmtId="0" fontId="4" fillId="0" borderId="0" xfId="3" applyFont="1" applyAlignment="1">
      <alignment horizontal="left" indent="2"/>
    </xf>
    <xf numFmtId="0" fontId="8" fillId="0" borderId="0" xfId="3" applyFont="1" applyAlignment="1">
      <alignment horizontal="left" indent="3"/>
    </xf>
    <xf numFmtId="8" fontId="8" fillId="0" borderId="4" xfId="3" applyNumberFormat="1" applyFont="1" applyBorder="1" applyAlignment="1">
      <alignment horizontal="right"/>
    </xf>
    <xf numFmtId="8" fontId="8" fillId="0" borderId="5" xfId="3" applyNumberFormat="1" applyFont="1" applyBorder="1" applyAlignment="1">
      <alignment horizontal="right"/>
    </xf>
    <xf numFmtId="0" fontId="4" fillId="0" borderId="0" xfId="3" applyFont="1" applyAlignment="1">
      <alignment horizontal="left" indent="4"/>
    </xf>
    <xf numFmtId="8" fontId="4" fillId="0" borderId="6" xfId="3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 wrapText="1"/>
    </xf>
    <xf numFmtId="165" fontId="8" fillId="0" borderId="2" xfId="3" applyNumberFormat="1" applyFont="1" applyBorder="1" applyAlignment="1">
      <alignment horizontal="right"/>
    </xf>
    <xf numFmtId="0" fontId="4" fillId="0" borderId="7" xfId="3" applyFont="1" applyBorder="1"/>
    <xf numFmtId="8" fontId="4" fillId="0" borderId="8" xfId="3" applyNumberFormat="1" applyFont="1" applyBorder="1" applyAlignment="1">
      <alignment horizontal="right"/>
    </xf>
    <xf numFmtId="0" fontId="4" fillId="0" borderId="0" xfId="3" applyFont="1" applyAlignment="1">
      <alignment horizontal="left"/>
    </xf>
    <xf numFmtId="0" fontId="8" fillId="0" borderId="9" xfId="3" applyFont="1" applyBorder="1" applyAlignment="1">
      <alignment horizontal="left" indent="2"/>
    </xf>
    <xf numFmtId="0" fontId="8" fillId="0" borderId="0" xfId="3" applyFont="1" applyAlignment="1">
      <alignment horizontal="left" wrapText="1" indent="3"/>
    </xf>
    <xf numFmtId="0" fontId="12" fillId="0" borderId="0" xfId="0" applyFont="1" applyAlignment="1">
      <alignment horizontal="center"/>
    </xf>
    <xf numFmtId="8" fontId="13" fillId="0" borderId="2" xfId="3" applyNumberFormat="1" applyFont="1" applyBorder="1" applyAlignment="1">
      <alignment horizontal="right"/>
    </xf>
    <xf numFmtId="8" fontId="8" fillId="0" borderId="11" xfId="3" applyNumberFormat="1" applyFont="1" applyBorder="1" applyAlignment="1">
      <alignment horizontal="right"/>
    </xf>
    <xf numFmtId="8" fontId="8" fillId="0" borderId="0" xfId="3" applyNumberFormat="1" applyFont="1" applyAlignment="1">
      <alignment horizontal="right"/>
    </xf>
    <xf numFmtId="8" fontId="8" fillId="0" borderId="12" xfId="3" applyNumberFormat="1" applyFont="1" applyBorder="1" applyAlignment="1">
      <alignment horizontal="right"/>
    </xf>
    <xf numFmtId="0" fontId="4" fillId="0" borderId="12" xfId="3" applyFont="1" applyBorder="1" applyAlignment="1">
      <alignment horizontal="left" indent="4"/>
    </xf>
    <xf numFmtId="0" fontId="4" fillId="0" borderId="0" xfId="3" applyFont="1" applyAlignment="1">
      <alignment horizontal="center"/>
    </xf>
    <xf numFmtId="167" fontId="5" fillId="0" borderId="0" xfId="0" applyNumberFormat="1" applyFont="1"/>
    <xf numFmtId="167" fontId="8" fillId="0" borderId="2" xfId="3" applyNumberFormat="1" applyFont="1" applyBorder="1" applyAlignment="1">
      <alignment horizontal="right"/>
    </xf>
    <xf numFmtId="0" fontId="13" fillId="0" borderId="0" xfId="3" applyFont="1" applyAlignment="1">
      <alignment horizontal="left" indent="2"/>
    </xf>
    <xf numFmtId="167" fontId="13" fillId="0" borderId="2" xfId="3" applyNumberFormat="1" applyFont="1" applyBorder="1" applyAlignment="1">
      <alignment horizontal="right"/>
    </xf>
    <xf numFmtId="49" fontId="14" fillId="0" borderId="0" xfId="3" applyNumberFormat="1" applyFont="1" applyAlignment="1">
      <alignment horizontal="left" indent="2"/>
    </xf>
    <xf numFmtId="0" fontId="4" fillId="0" borderId="12" xfId="0" applyFont="1" applyBorder="1" applyAlignment="1">
      <alignment horizontal="left"/>
    </xf>
    <xf numFmtId="8" fontId="4" fillId="0" borderId="2" xfId="0" applyNumberFormat="1" applyFont="1" applyBorder="1" applyAlignment="1">
      <alignment horizontal="right"/>
    </xf>
    <xf numFmtId="0" fontId="4" fillId="0" borderId="12" xfId="3" applyFont="1" applyBorder="1" applyAlignment="1">
      <alignment horizontal="left"/>
    </xf>
    <xf numFmtId="8" fontId="4" fillId="0" borderId="0" xfId="3" applyNumberFormat="1" applyFont="1" applyAlignment="1">
      <alignment horizontal="right"/>
    </xf>
    <xf numFmtId="8" fontId="4" fillId="0" borderId="0" xfId="3" applyNumberFormat="1" applyFont="1"/>
    <xf numFmtId="0" fontId="4" fillId="0" borderId="0" xfId="3" applyFont="1" applyAlignment="1">
      <alignment horizontal="center" wrapText="1"/>
    </xf>
    <xf numFmtId="8" fontId="4" fillId="2" borderId="0" xfId="3" applyNumberFormat="1" applyFont="1" applyFill="1"/>
    <xf numFmtId="0" fontId="5" fillId="0" borderId="13" xfId="0" applyFont="1" applyBorder="1"/>
    <xf numFmtId="38" fontId="8" fillId="0" borderId="0" xfId="3" applyNumberFormat="1" applyFont="1"/>
    <xf numFmtId="0" fontId="8" fillId="0" borderId="3" xfId="3" applyFont="1" applyBorder="1"/>
    <xf numFmtId="8" fontId="8" fillId="0" borderId="3" xfId="3" applyNumberFormat="1" applyFont="1" applyBorder="1"/>
    <xf numFmtId="8" fontId="8" fillId="0" borderId="0" xfId="4" applyNumberFormat="1" applyFont="1" applyBorder="1"/>
    <xf numFmtId="0" fontId="8" fillId="0" borderId="13" xfId="3" applyFont="1" applyBorder="1"/>
    <xf numFmtId="8" fontId="8" fillId="0" borderId="13" xfId="4" applyNumberFormat="1" applyFont="1" applyBorder="1"/>
    <xf numFmtId="8" fontId="8" fillId="0" borderId="0" xfId="3" applyNumberFormat="1" applyFont="1"/>
    <xf numFmtId="165" fontId="4" fillId="0" borderId="10" xfId="0" applyNumberFormat="1" applyFont="1" applyBorder="1" applyAlignment="1">
      <alignment horizontal="right" wrapText="1"/>
    </xf>
    <xf numFmtId="0" fontId="17" fillId="0" borderId="0" xfId="0" applyFont="1" applyAlignment="1">
      <alignment horizontal="center"/>
    </xf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13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166" fontId="20" fillId="0" borderId="0" xfId="0" applyNumberFormat="1" applyFont="1" applyAlignment="1">
      <alignment wrapText="1"/>
    </xf>
    <xf numFmtId="166" fontId="20" fillId="0" borderId="0" xfId="0" applyNumberFormat="1" applyFont="1" applyAlignment="1">
      <alignment horizontal="right" wrapText="1"/>
    </xf>
    <xf numFmtId="165" fontId="11" fillId="0" borderId="3" xfId="0" applyNumberFormat="1" applyFont="1" applyBorder="1" applyAlignment="1">
      <alignment horizontal="right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17" fontId="18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right" wrapText="1"/>
    </xf>
    <xf numFmtId="166" fontId="11" fillId="0" borderId="0" xfId="0" applyNumberFormat="1" applyFont="1" applyAlignment="1">
      <alignment horizontal="right" wrapText="1"/>
    </xf>
    <xf numFmtId="165" fontId="11" fillId="2" borderId="3" xfId="0" applyNumberFormat="1" applyFont="1" applyFill="1" applyBorder="1" applyAlignment="1">
      <alignment horizontal="right" wrapText="1"/>
    </xf>
    <xf numFmtId="4" fontId="0" fillId="0" borderId="0" xfId="0" applyNumberFormat="1"/>
    <xf numFmtId="0" fontId="0" fillId="3" borderId="0" xfId="0" applyFill="1"/>
    <xf numFmtId="4" fontId="2" fillId="3" borderId="14" xfId="0" applyNumberFormat="1" applyFont="1" applyFill="1" applyBorder="1"/>
    <xf numFmtId="0" fontId="0" fillId="0" borderId="0" xfId="0" applyAlignment="1"/>
    <xf numFmtId="4" fontId="20" fillId="0" borderId="0" xfId="0" applyNumberFormat="1" applyFont="1" applyAlignment="1">
      <alignment horizontal="right" wrapText="1"/>
    </xf>
    <xf numFmtId="4" fontId="20" fillId="0" borderId="0" xfId="0" applyNumberFormat="1" applyFont="1" applyAlignment="1">
      <alignment wrapText="1"/>
    </xf>
    <xf numFmtId="4" fontId="20" fillId="3" borderId="0" xfId="0" applyNumberFormat="1" applyFont="1" applyFill="1" applyAlignment="1">
      <alignment wrapText="1"/>
    </xf>
    <xf numFmtId="166" fontId="11" fillId="0" borderId="0" xfId="0" applyNumberFormat="1" applyFont="1" applyAlignment="1">
      <alignment wrapText="1"/>
    </xf>
    <xf numFmtId="4" fontId="0" fillId="0" borderId="13" xfId="0" applyNumberFormat="1" applyBorder="1"/>
    <xf numFmtId="0" fontId="21" fillId="0" borderId="15" xfId="0" applyFont="1" applyBorder="1" applyAlignment="1"/>
    <xf numFmtId="0" fontId="20" fillId="0" borderId="0" xfId="5" applyFont="1"/>
    <xf numFmtId="0" fontId="11" fillId="0" borderId="0" xfId="5" applyFont="1" applyAlignment="1">
      <alignment horizontal="center"/>
    </xf>
    <xf numFmtId="0" fontId="22" fillId="0" borderId="0" xfId="5" applyFont="1"/>
    <xf numFmtId="0" fontId="23" fillId="0" borderId="0" xfId="0" applyFont="1"/>
    <xf numFmtId="0" fontId="22" fillId="0" borderId="16" xfId="5" applyFont="1" applyBorder="1" applyAlignment="1">
      <alignment horizontal="center"/>
    </xf>
    <xf numFmtId="0" fontId="22" fillId="0" borderId="17" xfId="5" applyFont="1" applyBorder="1" applyAlignment="1">
      <alignment horizontal="center"/>
    </xf>
    <xf numFmtId="0" fontId="22" fillId="0" borderId="18" xfId="5" applyFont="1" applyBorder="1" applyAlignment="1">
      <alignment horizontal="center"/>
    </xf>
    <xf numFmtId="0" fontId="22" fillId="0" borderId="0" xfId="5" applyFont="1" applyAlignment="1">
      <alignment horizontal="center"/>
    </xf>
    <xf numFmtId="0" fontId="22" fillId="0" borderId="3" xfId="5" applyFont="1" applyBorder="1" applyAlignment="1">
      <alignment horizontal="center"/>
    </xf>
    <xf numFmtId="0" fontId="22" fillId="0" borderId="16" xfId="5" applyFont="1" applyBorder="1" applyAlignment="1">
      <alignment horizontal="center"/>
    </xf>
    <xf numFmtId="49" fontId="20" fillId="0" borderId="0" xfId="5" applyNumberFormat="1" applyFont="1" applyAlignment="1">
      <alignment vertical="top"/>
    </xf>
    <xf numFmtId="0" fontId="11" fillId="0" borderId="0" xfId="5" applyFont="1" applyAlignment="1">
      <alignment horizontal="center" vertical="top"/>
    </xf>
    <xf numFmtId="49" fontId="20" fillId="0" borderId="15" xfId="5" applyNumberFormat="1" applyFont="1" applyBorder="1" applyAlignment="1">
      <alignment horizontal="center" vertical="top" wrapText="1"/>
    </xf>
    <xf numFmtId="49" fontId="20" fillId="0" borderId="0" xfId="5" applyNumberFormat="1" applyFont="1" applyAlignment="1">
      <alignment horizontal="center" vertical="top"/>
    </xf>
    <xf numFmtId="0" fontId="22" fillId="0" borderId="15" xfId="5" applyFont="1" applyBorder="1" applyAlignment="1">
      <alignment horizontal="center" vertical="top" wrapText="1"/>
    </xf>
    <xf numFmtId="0" fontId="22" fillId="0" borderId="0" xfId="5" applyFont="1" applyAlignment="1">
      <alignment wrapText="1"/>
    </xf>
    <xf numFmtId="0" fontId="22" fillId="0" borderId="17" xfId="5" applyFont="1" applyBorder="1" applyAlignment="1">
      <alignment horizontal="center" vertical="top" wrapText="1"/>
    </xf>
    <xf numFmtId="0" fontId="22" fillId="0" borderId="16" xfId="5" applyFont="1" applyBorder="1" applyAlignment="1">
      <alignment horizontal="center" vertical="top" wrapText="1"/>
    </xf>
    <xf numFmtId="0" fontId="22" fillId="0" borderId="0" xfId="5" applyFont="1" applyAlignment="1">
      <alignment horizontal="center" vertical="top"/>
    </xf>
    <xf numFmtId="168" fontId="22" fillId="0" borderId="15" xfId="5" applyNumberFormat="1" applyFont="1" applyBorder="1" applyAlignment="1">
      <alignment horizontal="center" vertical="top"/>
    </xf>
    <xf numFmtId="49" fontId="20" fillId="0" borderId="0" xfId="5" applyNumberFormat="1" applyFont="1"/>
    <xf numFmtId="4" fontId="20" fillId="0" borderId="0" xfId="5" applyNumberFormat="1" applyFont="1"/>
    <xf numFmtId="4" fontId="22" fillId="0" borderId="0" xfId="5" applyNumberFormat="1" applyFont="1"/>
    <xf numFmtId="0" fontId="24" fillId="0" borderId="0" xfId="5" applyFont="1" applyAlignment="1">
      <alignment horizontal="center"/>
    </xf>
    <xf numFmtId="49" fontId="25" fillId="0" borderId="0" xfId="5" applyNumberFormat="1" applyFont="1" applyAlignment="1">
      <alignment horizontal="center"/>
    </xf>
    <xf numFmtId="4" fontId="25" fillId="0" borderId="0" xfId="5" applyNumberFormat="1" applyFont="1" applyAlignment="1">
      <alignment horizontal="center"/>
    </xf>
    <xf numFmtId="4" fontId="24" fillId="0" borderId="0" xfId="5" applyNumberFormat="1" applyFont="1" applyAlignment="1">
      <alignment horizontal="center"/>
    </xf>
    <xf numFmtId="44" fontId="22" fillId="0" borderId="0" xfId="1" applyFont="1" applyFill="1" applyBorder="1"/>
    <xf numFmtId="4" fontId="22" fillId="2" borderId="0" xfId="5" applyNumberFormat="1" applyFont="1" applyFill="1"/>
    <xf numFmtId="4" fontId="22" fillId="0" borderId="19" xfId="5" applyNumberFormat="1" applyFont="1" applyBorder="1"/>
    <xf numFmtId="49" fontId="20" fillId="0" borderId="20" xfId="5" applyNumberFormat="1" applyFont="1" applyBorder="1"/>
    <xf numFmtId="4" fontId="20" fillId="0" borderId="20" xfId="5" applyNumberFormat="1" applyFont="1" applyBorder="1"/>
    <xf numFmtId="4" fontId="22" fillId="0" borderId="20" xfId="5" applyNumberFormat="1" applyFont="1" applyBorder="1"/>
    <xf numFmtId="4" fontId="22" fillId="2" borderId="20" xfId="5" applyNumberFormat="1" applyFont="1" applyFill="1" applyBorder="1"/>
    <xf numFmtId="44" fontId="22" fillId="0" borderId="20" xfId="1" applyFont="1" applyFill="1" applyBorder="1"/>
    <xf numFmtId="49" fontId="20" fillId="0" borderId="0" xfId="5" applyNumberFormat="1" applyFont="1" applyAlignment="1">
      <alignment horizontal="center"/>
    </xf>
    <xf numFmtId="168" fontId="22" fillId="0" borderId="0" xfId="5" applyNumberFormat="1" applyFont="1"/>
    <xf numFmtId="49" fontId="20" fillId="4" borderId="19" xfId="5" applyNumberFormat="1" applyFont="1" applyFill="1" applyBorder="1" applyAlignment="1">
      <alignment horizontal="center"/>
    </xf>
    <xf numFmtId="49" fontId="22" fillId="0" borderId="0" xfId="5" applyNumberFormat="1" applyFont="1" applyAlignment="1">
      <alignment horizontal="left"/>
    </xf>
    <xf numFmtId="49" fontId="20" fillId="0" borderId="0" xfId="5" applyNumberFormat="1" applyFont="1" applyAlignment="1">
      <alignment wrapText="1"/>
    </xf>
    <xf numFmtId="4" fontId="26" fillId="0" borderId="0" xfId="5" applyNumberFormat="1" applyFont="1"/>
    <xf numFmtId="4" fontId="22" fillId="5" borderId="0" xfId="5" applyNumberFormat="1" applyFont="1" applyFill="1"/>
    <xf numFmtId="4" fontId="22" fillId="5" borderId="20" xfId="5" applyNumberFormat="1" applyFont="1" applyFill="1" applyBorder="1"/>
    <xf numFmtId="4" fontId="22" fillId="0" borderId="13" xfId="5" applyNumberFormat="1" applyFont="1" applyBorder="1"/>
    <xf numFmtId="4" fontId="22" fillId="4" borderId="0" xfId="5" applyNumberFormat="1" applyFont="1" applyFill="1"/>
    <xf numFmtId="4" fontId="22" fillId="4" borderId="13" xfId="5" applyNumberFormat="1" applyFont="1" applyFill="1" applyBorder="1"/>
    <xf numFmtId="0" fontId="22" fillId="0" borderId="13" xfId="5" applyFont="1" applyBorder="1"/>
    <xf numFmtId="4" fontId="20" fillId="0" borderId="19" xfId="5" applyNumberFormat="1" applyFont="1" applyBorder="1"/>
    <xf numFmtId="4" fontId="20" fillId="0" borderId="21" xfId="5" applyNumberFormat="1" applyFont="1" applyBorder="1"/>
    <xf numFmtId="4" fontId="11" fillId="0" borderId="21" xfId="5" applyNumberFormat="1" applyFont="1" applyBorder="1"/>
    <xf numFmtId="4" fontId="23" fillId="0" borderId="0" xfId="0" applyNumberFormat="1" applyFont="1"/>
    <xf numFmtId="4" fontId="27" fillId="0" borderId="0" xfId="0" applyNumberFormat="1" applyFont="1"/>
  </cellXfs>
  <cellStyles count="6">
    <cellStyle name="Currency" xfId="1" builtinId="4"/>
    <cellStyle name="Currency 2" xfId="4" xr:uid="{30E939A7-2022-4FEA-A7A2-268447FFF17B}"/>
    <cellStyle name="Normal" xfId="0" builtinId="0"/>
    <cellStyle name="Normal 2" xfId="3" xr:uid="{960798B3-252E-4E8B-8E89-D2E891F5CCFC}"/>
    <cellStyle name="Normal 3" xfId="5" xr:uid="{9BB9B57B-AAF9-4A07-AFE0-3C0165E9994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832485</xdr:colOff>
      <xdr:row>1</xdr:row>
      <xdr:rowOff>66675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51201"/>
            </a:ext>
            <a:ext uri="{FF2B5EF4-FFF2-40B4-BE49-F238E27FC236}">
              <a16:creationId xmlns:a16="http://schemas.microsoft.com/office/drawing/2014/main" id="{108D1807-A24C-49F5-9529-FA9C2DA23B42}"/>
            </a:ext>
          </a:extLst>
        </xdr:cNvPr>
        <xdr:cNvSpPr/>
      </xdr:nvSpPr>
      <xdr:spPr bwMode="auto">
        <a:xfrm>
          <a:off x="0" y="0"/>
          <a:ext cx="83248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832485</xdr:colOff>
      <xdr:row>1</xdr:row>
      <xdr:rowOff>66675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51202"/>
            </a:ext>
            <a:ext uri="{FF2B5EF4-FFF2-40B4-BE49-F238E27FC236}">
              <a16:creationId xmlns:a16="http://schemas.microsoft.com/office/drawing/2014/main" id="{37C30F34-F10B-41E0-9936-93D566EAA7AE}"/>
            </a:ext>
          </a:extLst>
        </xdr:cNvPr>
        <xdr:cNvSpPr/>
      </xdr:nvSpPr>
      <xdr:spPr bwMode="auto">
        <a:xfrm>
          <a:off x="0" y="0"/>
          <a:ext cx="83248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832485</xdr:colOff>
      <xdr:row>1</xdr:row>
      <xdr:rowOff>66675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79244545-421D-42FA-8EE9-0CEE9CC9578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248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832485</xdr:colOff>
      <xdr:row>1</xdr:row>
      <xdr:rowOff>66675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E12F0F57-A3A7-48DD-AACB-349A157C6F3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248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PresbyteryGeneva_FS_Dec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Temp/Temp1_PresbyteryGeneva_FS_Dec_2022%5b32126%5d.zip/PresbyteryGeneva_FS_Dec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Summary Update updated"/>
      <sheetName val="PL Budget Mission &amp; Operations"/>
      <sheetName val="Camp YTD Budget"/>
      <sheetName val="class report"/>
      <sheetName val="Reserve Fund Summary"/>
      <sheetName val="Reserve Funds (Net Assets)"/>
      <sheetName val="New Covenant"/>
      <sheetName val="AR 2022"/>
      <sheetName val="details missions"/>
      <sheetName val="details operations"/>
      <sheetName val="dedicated details"/>
      <sheetName val="camp 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Summary Update updated"/>
      <sheetName val="PL Budget Mission &amp; Operations"/>
      <sheetName val="Camp YTD Budget"/>
      <sheetName val="class report"/>
      <sheetName val="Reserve Fund Summary"/>
      <sheetName val="Reserve Funds (Net Assets)"/>
      <sheetName val="New Covenant"/>
      <sheetName val="AR 2022"/>
      <sheetName val="details missions"/>
      <sheetName val="details operations"/>
      <sheetName val="dedicated details"/>
      <sheetName val="camp details"/>
    </sheetNames>
    <sheetDataSet>
      <sheetData sheetId="0"/>
      <sheetData sheetId="1"/>
      <sheetData sheetId="2"/>
      <sheetData sheetId="3">
        <row r="169">
          <cell r="C169">
            <v>-53970.369999999893</v>
          </cell>
        </row>
        <row r="172">
          <cell r="B172">
            <v>-7910.56</v>
          </cell>
        </row>
        <row r="175">
          <cell r="B175">
            <v>556.04</v>
          </cell>
        </row>
        <row r="176">
          <cell r="B176">
            <v>-160833.41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F0B04-3795-48B6-8A4C-8F601160E483}">
  <dimension ref="A1:I65"/>
  <sheetViews>
    <sheetView topLeftCell="A25" workbookViewId="0">
      <selection activeCell="A43" sqref="A43"/>
    </sheetView>
  </sheetViews>
  <sheetFormatPr defaultRowHeight="15" x14ac:dyDescent="0.25"/>
  <cols>
    <col min="1" max="1" width="37" bestFit="1" customWidth="1"/>
    <col min="2" max="2" width="15.28515625" bestFit="1" customWidth="1"/>
    <col min="3" max="3" width="13.28515625" bestFit="1" customWidth="1"/>
    <col min="5" max="5" width="14" bestFit="1" customWidth="1"/>
    <col min="6" max="6" width="13.28515625" bestFit="1" customWidth="1"/>
  </cols>
  <sheetData>
    <row r="1" spans="1:9" ht="15.75" x14ac:dyDescent="0.2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5.75" x14ac:dyDescent="0.25">
      <c r="A2" s="1"/>
      <c r="B2" s="1"/>
      <c r="C2" s="1"/>
      <c r="D2" s="1"/>
      <c r="E2" s="2"/>
      <c r="F2" s="2"/>
      <c r="G2" s="2"/>
      <c r="H2" s="2"/>
      <c r="I2" s="2"/>
    </row>
    <row r="3" spans="1:9" ht="32.25" thickBot="1" x14ac:dyDescent="0.3">
      <c r="A3" s="3" t="s">
        <v>1</v>
      </c>
      <c r="B3" s="4" t="s">
        <v>2</v>
      </c>
      <c r="C3" s="4" t="s">
        <v>3</v>
      </c>
      <c r="D3" s="4"/>
      <c r="E3" s="4" t="s">
        <v>4</v>
      </c>
      <c r="F3" s="4" t="s">
        <v>5</v>
      </c>
      <c r="G3" s="2"/>
      <c r="H3" s="2"/>
      <c r="I3" s="2"/>
    </row>
    <row r="4" spans="1:9" ht="15.75" x14ac:dyDescent="0.25">
      <c r="A4" s="5" t="s">
        <v>6</v>
      </c>
      <c r="B4" s="6"/>
      <c r="C4" s="6"/>
      <c r="D4" s="6"/>
      <c r="E4" s="6"/>
      <c r="F4" s="6"/>
      <c r="G4" s="2"/>
      <c r="H4" s="2"/>
      <c r="I4" s="2"/>
    </row>
    <row r="5" spans="1:9" ht="15.75" x14ac:dyDescent="0.25">
      <c r="A5" s="7"/>
      <c r="B5" s="8"/>
      <c r="C5" s="8"/>
      <c r="D5" s="8"/>
      <c r="E5" s="8"/>
      <c r="F5" s="8"/>
      <c r="G5" s="2"/>
      <c r="H5" s="2"/>
      <c r="I5" s="2"/>
    </row>
    <row r="6" spans="1:9" ht="15.75" x14ac:dyDescent="0.25">
      <c r="A6" s="1" t="s">
        <v>7</v>
      </c>
      <c r="B6" s="9"/>
      <c r="C6" s="9"/>
      <c r="D6" s="9"/>
      <c r="E6" s="9"/>
      <c r="F6" s="9"/>
      <c r="G6" s="2"/>
      <c r="H6" s="2"/>
      <c r="I6" s="2"/>
    </row>
    <row r="7" spans="1:9" ht="15.75" x14ac:dyDescent="0.25">
      <c r="A7" s="10" t="s">
        <v>8</v>
      </c>
      <c r="B7" s="8">
        <v>166262.89000000001</v>
      </c>
      <c r="C7" s="8">
        <v>197350</v>
      </c>
      <c r="D7" s="8"/>
      <c r="E7" s="8">
        <v>182634.47</v>
      </c>
      <c r="F7" s="11">
        <v>209650</v>
      </c>
      <c r="G7" s="12">
        <f>B7/C7</f>
        <v>0.84247727387889548</v>
      </c>
      <c r="H7" s="12">
        <f>E7/F7</f>
        <v>0.87113985213450995</v>
      </c>
      <c r="I7" s="2"/>
    </row>
    <row r="8" spans="1:9" ht="15.75" x14ac:dyDescent="0.25">
      <c r="A8" s="10" t="s">
        <v>9</v>
      </c>
      <c r="B8" s="13">
        <v>170865.69</v>
      </c>
      <c r="C8" s="8">
        <v>150000</v>
      </c>
      <c r="D8" s="8"/>
      <c r="E8" s="14">
        <v>158994.51</v>
      </c>
      <c r="F8" s="8">
        <v>150000</v>
      </c>
      <c r="G8" s="12">
        <f>B8/C8</f>
        <v>1.1391046</v>
      </c>
      <c r="H8" s="12">
        <f>E8/F8</f>
        <v>1.0599634</v>
      </c>
      <c r="I8" s="2"/>
    </row>
    <row r="9" spans="1:9" ht="15.75" x14ac:dyDescent="0.25">
      <c r="A9" s="10"/>
      <c r="B9" s="8"/>
      <c r="C9" s="8"/>
      <c r="D9" s="8"/>
      <c r="E9" s="8"/>
      <c r="F9" s="8"/>
      <c r="G9" s="2"/>
      <c r="H9" s="2"/>
      <c r="I9" s="2"/>
    </row>
    <row r="10" spans="1:9" ht="15.75" x14ac:dyDescent="0.25">
      <c r="A10" s="15" t="s">
        <v>10</v>
      </c>
      <c r="B10" s="8"/>
      <c r="C10" s="8"/>
      <c r="D10" s="8"/>
      <c r="E10" s="8"/>
      <c r="F10" s="8"/>
      <c r="G10" s="2"/>
      <c r="H10" s="2"/>
      <c r="I10" s="2"/>
    </row>
    <row r="11" spans="1:9" ht="15.75" x14ac:dyDescent="0.25">
      <c r="A11" s="10"/>
      <c r="B11" s="8"/>
      <c r="C11" s="8"/>
      <c r="D11" s="8"/>
      <c r="E11" s="8"/>
      <c r="F11" s="8"/>
      <c r="G11" s="2"/>
      <c r="H11" s="2"/>
      <c r="I11" s="2"/>
    </row>
    <row r="12" spans="1:9" ht="15.75" x14ac:dyDescent="0.25">
      <c r="A12" s="10" t="s">
        <v>11</v>
      </c>
      <c r="B12" s="8">
        <v>10443.030000000001</v>
      </c>
      <c r="C12" s="8">
        <v>100</v>
      </c>
      <c r="D12" s="8"/>
      <c r="E12" s="8">
        <v>8992.2099999999991</v>
      </c>
      <c r="F12" s="8">
        <v>2100</v>
      </c>
      <c r="G12" s="2"/>
      <c r="H12" s="2"/>
      <c r="I12" s="2"/>
    </row>
    <row r="13" spans="1:9" ht="15.75" x14ac:dyDescent="0.25">
      <c r="A13" s="16"/>
      <c r="B13" s="17"/>
      <c r="C13" s="18"/>
      <c r="D13" s="8"/>
      <c r="E13" s="17"/>
      <c r="F13" s="17"/>
      <c r="G13" s="2"/>
      <c r="H13" s="2"/>
      <c r="I13" s="2"/>
    </row>
    <row r="14" spans="1:9" ht="15.75" x14ac:dyDescent="0.25">
      <c r="A14" s="10" t="s">
        <v>10</v>
      </c>
      <c r="B14" s="8">
        <v>0</v>
      </c>
      <c r="C14" s="8">
        <f>SUM(C11:C13)</f>
        <v>100</v>
      </c>
      <c r="D14" s="8"/>
      <c r="E14" s="8">
        <f>SUM(E11:E13)</f>
        <v>8992.2099999999991</v>
      </c>
      <c r="F14" s="8">
        <f>SUM(F11:F13)</f>
        <v>2100</v>
      </c>
      <c r="G14" s="2"/>
      <c r="H14" s="2"/>
      <c r="I14" s="2"/>
    </row>
    <row r="15" spans="1:9" ht="15.75" x14ac:dyDescent="0.25">
      <c r="A15" s="19" t="s">
        <v>12</v>
      </c>
      <c r="B15" s="20">
        <f>SUM(B7:B12)</f>
        <v>347571.61000000004</v>
      </c>
      <c r="C15" s="20">
        <f>C7+C8+C14</f>
        <v>347450</v>
      </c>
      <c r="D15" s="20"/>
      <c r="E15" s="20">
        <f>SUM(E7:E12)</f>
        <v>350621.19</v>
      </c>
      <c r="F15" s="20">
        <f>F7+F8+F14</f>
        <v>361750</v>
      </c>
      <c r="G15" s="2"/>
      <c r="H15" s="2"/>
      <c r="I15" s="2"/>
    </row>
    <row r="16" spans="1:9" ht="15.75" x14ac:dyDescent="0.25">
      <c r="A16" s="2"/>
      <c r="B16" s="8"/>
      <c r="C16" s="8"/>
      <c r="D16" s="8"/>
      <c r="E16" s="8"/>
      <c r="F16" s="8"/>
      <c r="G16" s="2"/>
      <c r="H16" s="2"/>
      <c r="I16" s="2"/>
    </row>
    <row r="17" spans="1:9" ht="15.75" x14ac:dyDescent="0.25">
      <c r="A17" s="1" t="s">
        <v>13</v>
      </c>
      <c r="B17" s="9"/>
      <c r="C17" s="9"/>
      <c r="D17" s="9"/>
      <c r="E17" s="9"/>
      <c r="F17" s="9"/>
      <c r="G17" s="2"/>
      <c r="H17" s="2"/>
      <c r="I17" s="2"/>
    </row>
    <row r="18" spans="1:9" ht="15.75" x14ac:dyDescent="0.25">
      <c r="A18" s="7" t="s">
        <v>14</v>
      </c>
      <c r="B18" s="13">
        <v>151254.88</v>
      </c>
      <c r="C18" s="8">
        <v>167000</v>
      </c>
      <c r="D18" s="8"/>
      <c r="E18" s="21">
        <v>125865.49</v>
      </c>
      <c r="F18" s="8">
        <v>160100</v>
      </c>
      <c r="G18" s="2"/>
      <c r="H18" s="2"/>
      <c r="I18" s="2"/>
    </row>
    <row r="19" spans="1:9" ht="15.75" x14ac:dyDescent="0.25">
      <c r="A19" s="7" t="s">
        <v>15</v>
      </c>
      <c r="B19" s="18">
        <v>90000</v>
      </c>
      <c r="C19" s="8">
        <v>90000</v>
      </c>
      <c r="D19" s="8"/>
      <c r="E19" s="8">
        <v>90000</v>
      </c>
      <c r="F19" s="8">
        <v>90000</v>
      </c>
      <c r="G19" s="2"/>
      <c r="H19" s="2"/>
      <c r="I19" s="2"/>
    </row>
    <row r="20" spans="1:9" ht="15.75" x14ac:dyDescent="0.25">
      <c r="A20" s="7"/>
      <c r="B20" s="2"/>
      <c r="C20" s="2"/>
      <c r="D20" s="8"/>
      <c r="E20" s="8"/>
      <c r="F20" s="8"/>
      <c r="G20" s="2"/>
      <c r="H20" s="2"/>
      <c r="I20" s="2"/>
    </row>
    <row r="21" spans="1:9" ht="15.75" x14ac:dyDescent="0.25">
      <c r="A21" s="7" t="s">
        <v>16</v>
      </c>
      <c r="B21" s="13">
        <v>56698.81</v>
      </c>
      <c r="C21" s="17"/>
      <c r="D21" s="17"/>
      <c r="E21" s="17">
        <v>60604.25</v>
      </c>
      <c r="F21" s="17">
        <v>55850</v>
      </c>
      <c r="G21" s="2"/>
      <c r="H21" s="2"/>
      <c r="I21" s="2"/>
    </row>
    <row r="22" spans="1:9" ht="15.75" x14ac:dyDescent="0.25">
      <c r="A22" s="19" t="s">
        <v>17</v>
      </c>
      <c r="B22" s="22">
        <f>SUM(B18:B21)</f>
        <v>297953.69</v>
      </c>
      <c r="C22" s="9">
        <f>SUM(C18:C21)</f>
        <v>257000</v>
      </c>
      <c r="D22" s="9"/>
      <c r="E22" s="9">
        <f>SUM(E17:E21)</f>
        <v>276469.74</v>
      </c>
      <c r="F22" s="9">
        <f>SUM(F18:F21)</f>
        <v>305950</v>
      </c>
      <c r="G22" s="2"/>
      <c r="H22" s="2"/>
      <c r="I22" s="2"/>
    </row>
    <row r="23" spans="1:9" ht="15.75" x14ac:dyDescent="0.25">
      <c r="A23" s="19"/>
      <c r="B23" s="9"/>
      <c r="C23" s="9"/>
      <c r="D23" s="9"/>
      <c r="E23" s="9"/>
      <c r="F23" s="9"/>
      <c r="G23" s="2"/>
      <c r="H23" s="2"/>
      <c r="I23" s="2"/>
    </row>
    <row r="24" spans="1:9" ht="16.5" thickBot="1" x14ac:dyDescent="0.3">
      <c r="A24" s="23" t="s">
        <v>18</v>
      </c>
      <c r="B24" s="24">
        <f>B15+B22</f>
        <v>645525.30000000005</v>
      </c>
      <c r="C24" s="24">
        <f>C15+C22</f>
        <v>604450</v>
      </c>
      <c r="D24" s="24"/>
      <c r="E24" s="24">
        <f>E15+E22</f>
        <v>627090.92999999993</v>
      </c>
      <c r="F24" s="24">
        <f>F15+F22</f>
        <v>667700</v>
      </c>
      <c r="G24" s="2"/>
      <c r="H24" s="2"/>
      <c r="I24" s="2"/>
    </row>
    <row r="25" spans="1:9" ht="15.75" x14ac:dyDescent="0.25">
      <c r="A25" s="7"/>
      <c r="B25" s="8"/>
      <c r="C25" s="8"/>
      <c r="D25" s="8"/>
      <c r="E25" s="8"/>
      <c r="F25" s="8"/>
      <c r="G25" s="2"/>
      <c r="H25" s="2"/>
      <c r="I25" s="2"/>
    </row>
    <row r="26" spans="1:9" ht="15.75" x14ac:dyDescent="0.25">
      <c r="A26" s="5" t="s">
        <v>19</v>
      </c>
      <c r="B26" s="6"/>
      <c r="C26" s="6"/>
      <c r="D26" s="6"/>
      <c r="E26" s="6"/>
      <c r="F26" s="6"/>
      <c r="G26" s="2"/>
      <c r="H26" s="2"/>
      <c r="I26" s="2"/>
    </row>
    <row r="27" spans="1:9" ht="15.75" x14ac:dyDescent="0.25">
      <c r="A27" s="7"/>
      <c r="B27" s="8"/>
      <c r="C27" s="8"/>
      <c r="D27" s="8"/>
      <c r="E27" s="8"/>
      <c r="F27" s="8"/>
      <c r="G27" s="2"/>
      <c r="H27" s="2"/>
      <c r="I27" s="2"/>
    </row>
    <row r="28" spans="1:9" ht="15.75" x14ac:dyDescent="0.25">
      <c r="A28" s="25" t="s">
        <v>20</v>
      </c>
      <c r="B28" s="8"/>
      <c r="C28" s="8"/>
      <c r="D28" s="8"/>
      <c r="E28" s="8"/>
      <c r="F28" s="8"/>
      <c r="G28" s="2"/>
      <c r="H28" s="2"/>
      <c r="I28" s="2"/>
    </row>
    <row r="29" spans="1:9" ht="15.75" x14ac:dyDescent="0.25">
      <c r="A29" s="26" t="s">
        <v>21</v>
      </c>
      <c r="B29" s="55">
        <v>112451.68</v>
      </c>
      <c r="C29" s="8">
        <v>116271.49</v>
      </c>
      <c r="D29" s="8"/>
      <c r="E29" s="8">
        <v>57821.2</v>
      </c>
      <c r="F29" s="8">
        <v>112965.87</v>
      </c>
      <c r="G29" s="2"/>
      <c r="H29" s="2"/>
      <c r="I29" s="2"/>
    </row>
    <row r="30" spans="1:9" ht="15.75" x14ac:dyDescent="0.25">
      <c r="A30" s="16" t="s">
        <v>22</v>
      </c>
      <c r="B30" s="8">
        <v>90000</v>
      </c>
      <c r="C30" s="8">
        <v>90000</v>
      </c>
      <c r="D30" s="8"/>
      <c r="E30" s="8">
        <v>90000</v>
      </c>
      <c r="F30" s="8">
        <v>90000</v>
      </c>
      <c r="G30" s="2"/>
      <c r="H30" s="2"/>
      <c r="I30" s="2"/>
    </row>
    <row r="31" spans="1:9" ht="15.75" x14ac:dyDescent="0.25">
      <c r="A31" s="27"/>
      <c r="B31" s="8"/>
      <c r="C31" s="8"/>
      <c r="D31" s="8"/>
      <c r="E31" s="8"/>
      <c r="F31" s="8"/>
      <c r="G31" s="2"/>
      <c r="H31" s="28"/>
      <c r="I31" s="28"/>
    </row>
    <row r="32" spans="1:9" ht="15.75" x14ac:dyDescent="0.25">
      <c r="A32" s="2"/>
      <c r="B32" s="29"/>
      <c r="C32" s="29"/>
      <c r="D32" s="8"/>
      <c r="E32" s="29"/>
      <c r="F32" s="29"/>
      <c r="G32" s="2"/>
      <c r="H32" s="2"/>
      <c r="I32" s="2"/>
    </row>
    <row r="33" spans="1:9" ht="15.75" x14ac:dyDescent="0.25">
      <c r="A33" s="10" t="s">
        <v>23</v>
      </c>
      <c r="B33" s="30">
        <v>58230.34</v>
      </c>
      <c r="C33" s="31">
        <v>59000</v>
      </c>
      <c r="D33" s="32"/>
      <c r="E33" s="30">
        <v>53512.58</v>
      </c>
      <c r="F33" s="31">
        <v>57000</v>
      </c>
      <c r="G33" s="2"/>
      <c r="H33" s="14"/>
      <c r="I33" s="2"/>
    </row>
    <row r="34" spans="1:9" ht="15.75" x14ac:dyDescent="0.25">
      <c r="A34" s="10" t="s">
        <v>24</v>
      </c>
      <c r="B34" s="30">
        <v>59282.9</v>
      </c>
      <c r="C34" s="30">
        <v>92189.759999999995</v>
      </c>
      <c r="D34" s="30"/>
      <c r="E34" s="30">
        <v>84625.8</v>
      </c>
      <c r="F34" s="30">
        <v>95256</v>
      </c>
      <c r="G34" s="2"/>
      <c r="H34" s="2"/>
      <c r="I34" s="2"/>
    </row>
    <row r="35" spans="1:9" ht="15.75" x14ac:dyDescent="0.25">
      <c r="A35" s="33" t="s">
        <v>25</v>
      </c>
      <c r="B35" s="20">
        <f>SUM(B29:B34)</f>
        <v>319964.92</v>
      </c>
      <c r="C35" s="20">
        <f>SUM(C29:C34)</f>
        <v>357461.25</v>
      </c>
      <c r="D35" s="20"/>
      <c r="E35" s="20">
        <f t="shared" ref="E35:F35" si="0">SUM(E29:E34)</f>
        <v>285959.58</v>
      </c>
      <c r="F35" s="20">
        <f t="shared" si="0"/>
        <v>355221.87</v>
      </c>
      <c r="G35" s="2"/>
      <c r="H35" s="2"/>
      <c r="I35" s="2"/>
    </row>
    <row r="36" spans="1:9" ht="15.75" x14ac:dyDescent="0.25">
      <c r="A36" s="34"/>
      <c r="B36" s="9"/>
      <c r="C36" s="9"/>
      <c r="D36" s="9"/>
      <c r="E36" s="9"/>
      <c r="F36" s="9"/>
      <c r="G36" s="2"/>
      <c r="H36" s="2"/>
      <c r="I36" s="2"/>
    </row>
    <row r="37" spans="1:9" ht="15.75" x14ac:dyDescent="0.25">
      <c r="A37" s="25" t="s">
        <v>26</v>
      </c>
      <c r="B37" s="9"/>
      <c r="C37" s="9"/>
      <c r="D37" s="9"/>
      <c r="E37" s="9"/>
      <c r="F37" s="9"/>
      <c r="G37" s="2"/>
      <c r="H37" s="2"/>
      <c r="I37" s="2"/>
    </row>
    <row r="38" spans="1:9" ht="15.75" x14ac:dyDescent="0.25">
      <c r="A38" s="10" t="s">
        <v>27</v>
      </c>
      <c r="B38" s="8">
        <v>123260.71</v>
      </c>
      <c r="C38" s="35">
        <v>128000</v>
      </c>
      <c r="D38" s="8"/>
      <c r="E38" s="8">
        <v>107927.96</v>
      </c>
      <c r="F38" s="35">
        <v>111700.5</v>
      </c>
      <c r="G38" s="2"/>
      <c r="H38" s="2"/>
      <c r="I38" s="2"/>
    </row>
    <row r="39" spans="1:9" ht="15.75" x14ac:dyDescent="0.25">
      <c r="A39" s="10" t="s">
        <v>28</v>
      </c>
      <c r="B39" s="8">
        <v>93809.15</v>
      </c>
      <c r="C39" s="36">
        <v>87880</v>
      </c>
      <c r="D39" s="8"/>
      <c r="E39" s="8">
        <v>68232.259999999995</v>
      </c>
      <c r="F39" s="36">
        <v>81325</v>
      </c>
      <c r="G39" s="2"/>
      <c r="H39" s="2"/>
      <c r="I39" s="2"/>
    </row>
    <row r="40" spans="1:9" ht="15.75" x14ac:dyDescent="0.25">
      <c r="A40" s="10" t="s">
        <v>29</v>
      </c>
      <c r="B40" s="8">
        <v>28230.5</v>
      </c>
      <c r="C40" s="36">
        <v>28108.400000000001</v>
      </c>
      <c r="D40" s="8"/>
      <c r="E40" s="8">
        <v>20815.04</v>
      </c>
      <c r="F40" s="36">
        <v>22322.05</v>
      </c>
      <c r="G40" s="2"/>
      <c r="H40" s="2"/>
      <c r="I40" s="2"/>
    </row>
    <row r="41" spans="1:9" ht="15.75" x14ac:dyDescent="0.25">
      <c r="A41" s="37" t="s">
        <v>30</v>
      </c>
      <c r="B41" s="29">
        <v>47537.54</v>
      </c>
      <c r="C41" s="38">
        <v>39100</v>
      </c>
      <c r="D41" s="29"/>
      <c r="E41" s="29">
        <v>44334.49</v>
      </c>
      <c r="F41" s="38">
        <v>54350</v>
      </c>
      <c r="G41" s="2"/>
      <c r="H41" s="2"/>
      <c r="I41" s="2"/>
    </row>
    <row r="42" spans="1:9" ht="15.75" x14ac:dyDescent="0.25">
      <c r="A42" s="39" t="s">
        <v>31</v>
      </c>
      <c r="B42" s="29">
        <v>44137.55</v>
      </c>
      <c r="C42" s="38">
        <v>36000</v>
      </c>
      <c r="D42" s="29"/>
      <c r="E42" s="29">
        <v>37257.25</v>
      </c>
      <c r="F42" s="38">
        <v>39350</v>
      </c>
      <c r="G42" s="2"/>
      <c r="H42" s="2"/>
      <c r="I42" s="2"/>
    </row>
    <row r="43" spans="1:9" ht="15.75" x14ac:dyDescent="0.25">
      <c r="A43" s="33" t="s">
        <v>32</v>
      </c>
      <c r="B43" s="20">
        <f>SUM(B38:B42)</f>
        <v>336975.44999999995</v>
      </c>
      <c r="C43" s="20">
        <f>SUM(C38:C42)</f>
        <v>319088.40000000002</v>
      </c>
      <c r="D43" s="20"/>
      <c r="E43" s="20">
        <f>SUM(E38:E42)</f>
        <v>278567</v>
      </c>
      <c r="F43" s="20">
        <f>SUM(F38:F42)</f>
        <v>309047.55</v>
      </c>
      <c r="G43" s="2"/>
      <c r="H43" s="2"/>
      <c r="I43" s="2"/>
    </row>
    <row r="44" spans="1:9" ht="15.75" x14ac:dyDescent="0.25">
      <c r="A44" s="40"/>
      <c r="B44" s="41"/>
      <c r="C44" s="41"/>
      <c r="D44" s="41"/>
      <c r="E44" s="41"/>
      <c r="F44" s="41"/>
      <c r="G44" s="2"/>
      <c r="H44" s="2"/>
      <c r="I44" s="2"/>
    </row>
    <row r="45" spans="1:9" ht="15.75" x14ac:dyDescent="0.25">
      <c r="A45" s="40"/>
      <c r="B45" s="41"/>
      <c r="C45" s="41"/>
      <c r="D45" s="41"/>
      <c r="E45" s="41"/>
      <c r="F45" s="41"/>
      <c r="G45" s="2"/>
      <c r="H45" s="2"/>
      <c r="I45" s="2"/>
    </row>
    <row r="46" spans="1:9" ht="15.75" x14ac:dyDescent="0.25">
      <c r="A46" s="34"/>
      <c r="B46" s="9"/>
      <c r="C46" s="9"/>
      <c r="D46" s="9"/>
      <c r="E46" s="9"/>
      <c r="F46" s="9"/>
      <c r="G46" s="2"/>
      <c r="H46" s="2"/>
      <c r="I46" s="2"/>
    </row>
    <row r="47" spans="1:9" ht="16.5" thickBot="1" x14ac:dyDescent="0.3">
      <c r="A47" s="23" t="s">
        <v>33</v>
      </c>
      <c r="B47" s="24">
        <f>B35+B43</f>
        <v>656940.36999999988</v>
      </c>
      <c r="C47" s="24">
        <f>C35+C43+C45</f>
        <v>676549.65</v>
      </c>
      <c r="D47" s="24"/>
      <c r="E47" s="24">
        <f>E35+E43</f>
        <v>564526.58000000007</v>
      </c>
      <c r="F47" s="24">
        <f>F35+F43+F45</f>
        <v>664269.41999999993</v>
      </c>
      <c r="G47" s="2"/>
      <c r="H47" s="2"/>
      <c r="I47" s="2"/>
    </row>
    <row r="48" spans="1:9" ht="15.75" x14ac:dyDescent="0.25">
      <c r="A48" s="40"/>
      <c r="B48" s="41"/>
      <c r="C48" s="41"/>
      <c r="D48" s="41"/>
      <c r="E48" s="41"/>
      <c r="F48" s="41"/>
      <c r="G48" s="2"/>
      <c r="H48" s="2"/>
      <c r="I48" s="2"/>
    </row>
    <row r="49" spans="1:9" ht="15.75" x14ac:dyDescent="0.25">
      <c r="A49" s="42" t="s">
        <v>34</v>
      </c>
      <c r="B49" s="9">
        <f>B24-B47</f>
        <v>-11415.069999999832</v>
      </c>
      <c r="C49" s="9">
        <f>C24-C47</f>
        <v>-72099.650000000023</v>
      </c>
      <c r="D49" s="9"/>
      <c r="E49" s="9">
        <f>E24-E47</f>
        <v>62564.34999999986</v>
      </c>
      <c r="F49" s="9">
        <v>0</v>
      </c>
      <c r="G49" s="2"/>
      <c r="H49" s="2"/>
      <c r="I49" s="2"/>
    </row>
    <row r="50" spans="1:9" ht="15.75" x14ac:dyDescent="0.25">
      <c r="A50" s="25"/>
      <c r="B50" s="43"/>
      <c r="C50" s="43"/>
      <c r="D50" s="43"/>
      <c r="E50" s="43"/>
      <c r="F50" s="43"/>
      <c r="G50" s="2"/>
      <c r="H50" s="2"/>
      <c r="I50" s="2"/>
    </row>
    <row r="51" spans="1:9" ht="15.75" x14ac:dyDescent="0.25">
      <c r="A51" s="1" t="s">
        <v>35</v>
      </c>
      <c r="B51" s="44">
        <v>-160833.41</v>
      </c>
      <c r="C51" s="44"/>
      <c r="D51" s="44"/>
      <c r="E51" s="44">
        <v>415106.73</v>
      </c>
      <c r="F51" s="44"/>
      <c r="G51" s="2"/>
      <c r="H51" s="2"/>
      <c r="I51" s="2"/>
    </row>
    <row r="52" spans="1:9" ht="15.75" x14ac:dyDescent="0.25">
      <c r="A52" s="1" t="s">
        <v>36</v>
      </c>
      <c r="B52" s="44">
        <v>-22859.17</v>
      </c>
      <c r="C52" s="44"/>
      <c r="D52" s="44"/>
      <c r="E52" s="44">
        <v>18523.689999999999</v>
      </c>
      <c r="F52" s="44"/>
      <c r="G52" s="2"/>
      <c r="H52" s="2"/>
      <c r="I52" s="2"/>
    </row>
    <row r="53" spans="1:9" ht="15.75" x14ac:dyDescent="0.25">
      <c r="A53" s="1" t="s">
        <v>37</v>
      </c>
      <c r="B53" s="44"/>
      <c r="C53" s="44"/>
      <c r="D53" s="44"/>
      <c r="E53" s="44">
        <v>3369.59</v>
      </c>
      <c r="F53" s="44"/>
      <c r="G53" s="2"/>
      <c r="H53" s="2"/>
      <c r="I53" s="2"/>
    </row>
    <row r="54" spans="1:9" ht="15.75" x14ac:dyDescent="0.25">
      <c r="A54" s="1" t="s">
        <v>38</v>
      </c>
      <c r="B54" s="44">
        <v>0</v>
      </c>
      <c r="C54" s="44"/>
      <c r="D54" s="44"/>
      <c r="E54" s="44"/>
      <c r="F54" s="44"/>
      <c r="G54" s="2"/>
      <c r="H54" s="2"/>
      <c r="I54" s="2"/>
    </row>
    <row r="55" spans="1:9" ht="15.75" x14ac:dyDescent="0.25">
      <c r="A55" s="1" t="s">
        <v>39</v>
      </c>
      <c r="B55" s="44">
        <f>'[1]Camp YTD Budget'!B174</f>
        <v>0</v>
      </c>
      <c r="C55" s="44"/>
      <c r="D55" s="44"/>
      <c r="E55" s="44">
        <v>-108363.19</v>
      </c>
      <c r="F55" s="44"/>
      <c r="G55" s="2"/>
      <c r="H55" s="2"/>
      <c r="I55" s="2"/>
    </row>
    <row r="56" spans="1:9" ht="15.75" x14ac:dyDescent="0.25">
      <c r="A56" s="1" t="s">
        <v>40</v>
      </c>
      <c r="B56" s="44">
        <v>556.04</v>
      </c>
      <c r="C56" s="44"/>
      <c r="D56" s="44"/>
      <c r="E56" s="44">
        <v>-19253.310000000001</v>
      </c>
      <c r="F56" s="44"/>
      <c r="G56" s="2"/>
      <c r="H56" s="2"/>
      <c r="I56" s="2"/>
    </row>
    <row r="57" spans="1:9" ht="78.75" x14ac:dyDescent="0.25">
      <c r="A57" s="45" t="s">
        <v>41</v>
      </c>
      <c r="B57" s="46">
        <f>SUM(B49:B56)</f>
        <v>-194551.60999999984</v>
      </c>
      <c r="C57" s="44"/>
      <c r="D57" s="44"/>
      <c r="E57" s="44">
        <f>SUM(E48:E56)</f>
        <v>371947.85999999987</v>
      </c>
      <c r="F57" s="44"/>
      <c r="G57" s="2"/>
      <c r="H57" s="2"/>
      <c r="I57" s="2"/>
    </row>
    <row r="58" spans="1:9" ht="15.7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5.75" x14ac:dyDescent="0.25">
      <c r="A59" s="7" t="s">
        <v>42</v>
      </c>
      <c r="B59" s="47"/>
      <c r="C59" s="48">
        <v>4193</v>
      </c>
      <c r="D59" s="48"/>
      <c r="E59" s="48"/>
      <c r="F59" s="48">
        <v>4586</v>
      </c>
      <c r="G59" s="2"/>
      <c r="H59" s="2"/>
      <c r="I59" s="2"/>
    </row>
    <row r="60" spans="1:9" ht="15.75" x14ac:dyDescent="0.25">
      <c r="A60" s="49" t="s">
        <v>43</v>
      </c>
      <c r="B60" s="2"/>
      <c r="C60" s="50">
        <v>36.92</v>
      </c>
      <c r="D60" s="50"/>
      <c r="E60" s="50"/>
      <c r="F60" s="50">
        <v>36.950000000000003</v>
      </c>
      <c r="G60" s="2"/>
      <c r="H60" s="2"/>
      <c r="I60" s="2"/>
    </row>
    <row r="61" spans="1:9" ht="15.75" x14ac:dyDescent="0.25">
      <c r="A61" s="7" t="s">
        <v>44</v>
      </c>
      <c r="B61" s="2"/>
      <c r="C61" s="51">
        <v>4.0999999999999996</v>
      </c>
      <c r="D61" s="51"/>
      <c r="E61" s="51"/>
      <c r="F61" s="51">
        <v>4.0999999999999996</v>
      </c>
      <c r="G61" s="2"/>
      <c r="H61" s="2"/>
      <c r="I61" s="2"/>
    </row>
    <row r="62" spans="1:9" ht="15.75" x14ac:dyDescent="0.25">
      <c r="A62" s="52" t="s">
        <v>45</v>
      </c>
      <c r="B62" s="47"/>
      <c r="C62" s="53">
        <v>8.98</v>
      </c>
      <c r="D62" s="53"/>
      <c r="E62" s="53"/>
      <c r="F62" s="53">
        <v>8.9499999999999993</v>
      </c>
      <c r="G62" s="2"/>
      <c r="H62" s="2"/>
      <c r="I62" s="2"/>
    </row>
    <row r="63" spans="1:9" ht="15.75" x14ac:dyDescent="0.25">
      <c r="A63" s="7" t="s">
        <v>46</v>
      </c>
      <c r="B63" s="2"/>
      <c r="C63" s="54">
        <f>SUM(C60:C62)</f>
        <v>50</v>
      </c>
      <c r="D63" s="54"/>
      <c r="E63" s="54"/>
      <c r="F63" s="54">
        <f>SUM(F60:F62)</f>
        <v>50</v>
      </c>
      <c r="G63" s="2"/>
      <c r="H63" s="2"/>
      <c r="I63" s="2"/>
    </row>
    <row r="64" spans="1:9" ht="15.75" x14ac:dyDescent="0.25">
      <c r="A64" s="7"/>
      <c r="B64" s="54"/>
      <c r="C64" s="2"/>
      <c r="D64" s="2"/>
      <c r="E64" s="2"/>
      <c r="F64" s="2"/>
      <c r="G64" s="2"/>
      <c r="H64" s="2"/>
      <c r="I64" s="2"/>
    </row>
    <row r="65" spans="1:9" ht="15.75" x14ac:dyDescent="0.25">
      <c r="A65" s="2"/>
      <c r="B65" s="2"/>
      <c r="C65" s="2"/>
      <c r="D65" s="2"/>
      <c r="E65" s="2"/>
      <c r="F65" s="2"/>
      <c r="G65" s="2"/>
      <c r="H65" s="2"/>
      <c r="I6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6B74-FEF9-4166-AD67-0D36436D6904}">
  <dimension ref="A1:D153"/>
  <sheetViews>
    <sheetView workbookViewId="0">
      <selection activeCell="A136" sqref="A136:A153"/>
    </sheetView>
  </sheetViews>
  <sheetFormatPr defaultRowHeight="15" x14ac:dyDescent="0.25"/>
  <cols>
    <col min="1" max="1" width="43.85546875" bestFit="1" customWidth="1"/>
    <col min="2" max="2" width="11.7109375" bestFit="1" customWidth="1"/>
    <col min="4" max="4" width="11.7109375" bestFit="1" customWidth="1"/>
  </cols>
  <sheetData>
    <row r="1" spans="1:4" x14ac:dyDescent="0.25">
      <c r="A1" s="68" t="s">
        <v>47</v>
      </c>
      <c r="B1" s="62"/>
      <c r="C1" s="62"/>
      <c r="D1" s="62"/>
    </row>
    <row r="2" spans="1:4" x14ac:dyDescent="0.25">
      <c r="A2" s="68" t="s">
        <v>48</v>
      </c>
      <c r="B2" s="62"/>
      <c r="C2" s="62"/>
      <c r="D2" s="62"/>
    </row>
    <row r="3" spans="1:4" x14ac:dyDescent="0.25">
      <c r="A3" s="69" t="s">
        <v>49</v>
      </c>
      <c r="B3" s="62"/>
      <c r="C3" s="62"/>
      <c r="D3" s="62"/>
    </row>
    <row r="4" spans="1:4" x14ac:dyDescent="0.25">
      <c r="A4" s="59"/>
      <c r="B4" s="59"/>
      <c r="C4" s="59"/>
      <c r="D4" s="59"/>
    </row>
    <row r="5" spans="1:4" x14ac:dyDescent="0.25">
      <c r="A5" s="59"/>
      <c r="B5" s="60" t="s">
        <v>50</v>
      </c>
      <c r="C5" s="61"/>
      <c r="D5" s="62"/>
    </row>
    <row r="6" spans="1:4" ht="36.75" x14ac:dyDescent="0.25">
      <c r="A6" s="59"/>
      <c r="B6" s="63" t="s">
        <v>51</v>
      </c>
      <c r="C6" s="63"/>
      <c r="D6" s="63" t="s">
        <v>52</v>
      </c>
    </row>
    <row r="7" spans="1:4" x14ac:dyDescent="0.25">
      <c r="A7" s="64" t="s">
        <v>53</v>
      </c>
      <c r="B7" s="65"/>
      <c r="C7" s="65"/>
      <c r="D7" s="65"/>
    </row>
    <row r="8" spans="1:4" ht="23.25" x14ac:dyDescent="0.25">
      <c r="A8" s="64" t="s">
        <v>54</v>
      </c>
      <c r="B8" s="65"/>
      <c r="C8" s="65"/>
      <c r="D8" s="65"/>
    </row>
    <row r="9" spans="1:4" ht="23.25" x14ac:dyDescent="0.25">
      <c r="A9" s="64" t="s">
        <v>55</v>
      </c>
      <c r="B9" s="65"/>
      <c r="C9" s="65"/>
      <c r="D9" s="65"/>
    </row>
    <row r="10" spans="1:4" x14ac:dyDescent="0.25">
      <c r="A10" s="70" t="s">
        <v>56</v>
      </c>
      <c r="B10" s="66">
        <f>229344.52</f>
        <v>229344.52</v>
      </c>
      <c r="C10" s="66"/>
      <c r="D10" s="66">
        <f>242106.73</f>
        <v>242106.73</v>
      </c>
    </row>
    <row r="11" spans="1:4" x14ac:dyDescent="0.25">
      <c r="A11" s="70" t="s">
        <v>57</v>
      </c>
      <c r="B11" s="66">
        <f>0</f>
        <v>0</v>
      </c>
      <c r="C11" s="66"/>
      <c r="D11" s="66">
        <f>0</f>
        <v>0</v>
      </c>
    </row>
    <row r="12" spans="1:4" x14ac:dyDescent="0.25">
      <c r="A12" s="70" t="s">
        <v>58</v>
      </c>
      <c r="B12" s="66">
        <f>77803.48</f>
        <v>77803.48</v>
      </c>
      <c r="C12" s="66"/>
      <c r="D12" s="66">
        <f>77787.92</f>
        <v>77787.92</v>
      </c>
    </row>
    <row r="13" spans="1:4" x14ac:dyDescent="0.25">
      <c r="A13" s="70" t="s">
        <v>59</v>
      </c>
      <c r="B13" s="66">
        <f>0</f>
        <v>0</v>
      </c>
      <c r="C13" s="66"/>
      <c r="D13" s="66">
        <f>0</f>
        <v>0</v>
      </c>
    </row>
    <row r="14" spans="1:4" x14ac:dyDescent="0.25">
      <c r="A14" s="70" t="s">
        <v>60</v>
      </c>
      <c r="B14" s="66">
        <f>90382.28</f>
        <v>90382.28</v>
      </c>
      <c r="C14" s="66"/>
      <c r="D14" s="66">
        <f>115829.63</f>
        <v>115829.63</v>
      </c>
    </row>
    <row r="15" spans="1:4" x14ac:dyDescent="0.25">
      <c r="A15" s="70" t="s">
        <v>61</v>
      </c>
      <c r="B15" s="66">
        <f>109105.3</f>
        <v>109105.3</v>
      </c>
      <c r="C15" s="66"/>
      <c r="D15" s="66">
        <f>181027</f>
        <v>181027</v>
      </c>
    </row>
    <row r="16" spans="1:4" x14ac:dyDescent="0.25">
      <c r="A16" s="70" t="s">
        <v>62</v>
      </c>
      <c r="B16" s="66">
        <f>0</f>
        <v>0</v>
      </c>
      <c r="C16" s="66"/>
      <c r="D16" s="66">
        <f>0</f>
        <v>0</v>
      </c>
    </row>
    <row r="17" spans="1:4" x14ac:dyDescent="0.25">
      <c r="A17" s="70" t="s">
        <v>63</v>
      </c>
      <c r="B17" s="66">
        <f>0</f>
        <v>0</v>
      </c>
      <c r="C17" s="66"/>
      <c r="D17" s="66">
        <f>0</f>
        <v>0</v>
      </c>
    </row>
    <row r="18" spans="1:4" x14ac:dyDescent="0.25">
      <c r="A18" s="70" t="s">
        <v>64</v>
      </c>
      <c r="B18" s="66">
        <f>0</f>
        <v>0</v>
      </c>
      <c r="C18" s="66"/>
      <c r="D18" s="66">
        <f>0</f>
        <v>0</v>
      </c>
    </row>
    <row r="19" spans="1:4" x14ac:dyDescent="0.25">
      <c r="A19" s="70" t="s">
        <v>65</v>
      </c>
      <c r="B19" s="65"/>
      <c r="C19" s="65"/>
      <c r="D19" s="65"/>
    </row>
    <row r="20" spans="1:4" x14ac:dyDescent="0.25">
      <c r="A20" s="70" t="s">
        <v>66</v>
      </c>
      <c r="B20" s="66">
        <f>33.97</f>
        <v>33.97</v>
      </c>
      <c r="C20" s="66"/>
      <c r="D20" s="66">
        <f>29.99</f>
        <v>29.99</v>
      </c>
    </row>
    <row r="21" spans="1:4" x14ac:dyDescent="0.25">
      <c r="A21" s="70" t="s">
        <v>67</v>
      </c>
      <c r="B21" s="67">
        <f>(B19)+(B20)</f>
        <v>33.97</v>
      </c>
      <c r="C21" s="67"/>
      <c r="D21" s="67">
        <f>(D19)+(D20)</f>
        <v>29.99</v>
      </c>
    </row>
    <row r="22" spans="1:4" x14ac:dyDescent="0.25">
      <c r="A22" s="70" t="s">
        <v>68</v>
      </c>
      <c r="B22" s="66">
        <f>508.29</f>
        <v>508.29</v>
      </c>
      <c r="C22" s="66"/>
      <c r="D22" s="65"/>
    </row>
    <row r="23" spans="1:4" ht="34.5" x14ac:dyDescent="0.25">
      <c r="A23" s="64" t="s">
        <v>69</v>
      </c>
      <c r="B23" s="67">
        <f>((((((((((B10)+(B11))+(B12))+(B13))+(B14))+(B15))+(B16))+(B17))+(B18))+(B21))+(B22)</f>
        <v>507177.83999999997</v>
      </c>
      <c r="C23" s="67"/>
      <c r="D23" s="67">
        <f>((((((((((D10)+(D11))+(D12))+(D13))+(D14))+(D15))+(D16))+(D17))+(D18))+(D21))+(D22)</f>
        <v>616781.27</v>
      </c>
    </row>
    <row r="24" spans="1:4" x14ac:dyDescent="0.25">
      <c r="A24" s="70" t="s">
        <v>70</v>
      </c>
      <c r="B24" s="65"/>
      <c r="C24" s="65"/>
      <c r="D24" s="65"/>
    </row>
    <row r="25" spans="1:4" x14ac:dyDescent="0.25">
      <c r="A25" s="70" t="s">
        <v>71</v>
      </c>
      <c r="B25" s="66">
        <f>36436.92</f>
        <v>36436.92</v>
      </c>
      <c r="C25" s="66"/>
      <c r="D25" s="66">
        <f>105403.27</f>
        <v>105403.27</v>
      </c>
    </row>
    <row r="26" spans="1:4" x14ac:dyDescent="0.25">
      <c r="A26" s="70" t="s">
        <v>72</v>
      </c>
      <c r="B26" s="66">
        <f>-36436.92</f>
        <v>-36436.92</v>
      </c>
      <c r="C26" s="66"/>
      <c r="D26" s="66">
        <f>0</f>
        <v>0</v>
      </c>
    </row>
    <row r="27" spans="1:4" x14ac:dyDescent="0.25">
      <c r="A27" s="70" t="s">
        <v>73</v>
      </c>
      <c r="B27" s="67">
        <f>(B25)+(B26)</f>
        <v>0</v>
      </c>
      <c r="C27" s="67"/>
      <c r="D27" s="67">
        <f>(D25)+(D26)</f>
        <v>105403.27</v>
      </c>
    </row>
    <row r="28" spans="1:4" x14ac:dyDescent="0.25">
      <c r="A28" s="70" t="s">
        <v>74</v>
      </c>
      <c r="B28" s="65"/>
      <c r="C28" s="65"/>
      <c r="D28" s="65"/>
    </row>
    <row r="29" spans="1:4" x14ac:dyDescent="0.25">
      <c r="A29" s="70" t="s">
        <v>75</v>
      </c>
      <c r="B29" s="66">
        <f>0</f>
        <v>0</v>
      </c>
      <c r="C29" s="66"/>
      <c r="D29" s="66">
        <f>120</f>
        <v>120</v>
      </c>
    </row>
    <row r="30" spans="1:4" x14ac:dyDescent="0.25">
      <c r="A30" s="70" t="s">
        <v>76</v>
      </c>
      <c r="B30" s="66">
        <f>0</f>
        <v>0</v>
      </c>
      <c r="C30" s="66"/>
      <c r="D30" s="66">
        <f>0</f>
        <v>0</v>
      </c>
    </row>
    <row r="31" spans="1:4" x14ac:dyDescent="0.25">
      <c r="A31" s="70" t="s">
        <v>77</v>
      </c>
      <c r="B31" s="66">
        <f>1455.6</f>
        <v>1455.6</v>
      </c>
      <c r="C31" s="66"/>
      <c r="D31" s="66">
        <f>1455.6</f>
        <v>1455.6</v>
      </c>
    </row>
    <row r="32" spans="1:4" x14ac:dyDescent="0.25">
      <c r="A32" s="70" t="s">
        <v>78</v>
      </c>
      <c r="B32" s="66">
        <f>0</f>
        <v>0</v>
      </c>
      <c r="C32" s="66"/>
      <c r="D32" s="66">
        <f>0</f>
        <v>0</v>
      </c>
    </row>
    <row r="33" spans="1:4" x14ac:dyDescent="0.25">
      <c r="A33" s="70" t="s">
        <v>79</v>
      </c>
      <c r="B33" s="66">
        <f>98.56</f>
        <v>98.56</v>
      </c>
      <c r="C33" s="66"/>
      <c r="D33" s="65"/>
    </row>
    <row r="34" spans="1:4" x14ac:dyDescent="0.25">
      <c r="A34" s="70" t="s">
        <v>80</v>
      </c>
      <c r="B34" s="67">
        <f>((((B29)+(B30))+(B31))+(B32))+(B33)</f>
        <v>1554.1599999999999</v>
      </c>
      <c r="C34" s="67"/>
      <c r="D34" s="67">
        <f>((((D29)+(D30))+(D31))+(D32))+(D33)</f>
        <v>1575.6</v>
      </c>
    </row>
    <row r="35" spans="1:4" x14ac:dyDescent="0.25">
      <c r="A35" s="70" t="s">
        <v>81</v>
      </c>
      <c r="B35" s="67">
        <f>((B23)+(B27))+(B34)</f>
        <v>508731.99999999994</v>
      </c>
      <c r="C35" s="67"/>
      <c r="D35" s="67">
        <f>((D23)+(D27))+(D34)</f>
        <v>723760.14</v>
      </c>
    </row>
    <row r="36" spans="1:4" x14ac:dyDescent="0.25">
      <c r="A36" s="70" t="s">
        <v>82</v>
      </c>
      <c r="B36" s="65"/>
      <c r="C36" s="65"/>
      <c r="D36" s="65"/>
    </row>
    <row r="37" spans="1:4" x14ac:dyDescent="0.25">
      <c r="A37" s="70" t="s">
        <v>83</v>
      </c>
      <c r="B37" s="65"/>
      <c r="C37" s="65"/>
      <c r="D37" s="65"/>
    </row>
    <row r="38" spans="1:4" x14ac:dyDescent="0.25">
      <c r="A38" s="70" t="s">
        <v>84</v>
      </c>
      <c r="B38" s="65"/>
      <c r="C38" s="65"/>
      <c r="D38" s="65"/>
    </row>
    <row r="39" spans="1:4" x14ac:dyDescent="0.25">
      <c r="A39" s="70" t="s">
        <v>85</v>
      </c>
      <c r="B39" s="66">
        <f>0</f>
        <v>0</v>
      </c>
      <c r="C39" s="66"/>
      <c r="D39" s="66">
        <f>0</f>
        <v>0</v>
      </c>
    </row>
    <row r="40" spans="1:4" x14ac:dyDescent="0.25">
      <c r="A40" s="70" t="s">
        <v>86</v>
      </c>
      <c r="B40" s="66">
        <f>0</f>
        <v>0</v>
      </c>
      <c r="C40" s="66"/>
      <c r="D40" s="66">
        <f>0</f>
        <v>0</v>
      </c>
    </row>
    <row r="41" spans="1:4" x14ac:dyDescent="0.25">
      <c r="A41" s="70" t="s">
        <v>87</v>
      </c>
      <c r="B41" s="66">
        <f>0</f>
        <v>0</v>
      </c>
      <c r="C41" s="66"/>
      <c r="D41" s="66">
        <f>0</f>
        <v>0</v>
      </c>
    </row>
    <row r="42" spans="1:4" x14ac:dyDescent="0.25">
      <c r="A42" s="70" t="s">
        <v>88</v>
      </c>
      <c r="B42" s="66">
        <f>0</f>
        <v>0</v>
      </c>
      <c r="C42" s="66"/>
      <c r="D42" s="66">
        <f>0</f>
        <v>0</v>
      </c>
    </row>
    <row r="43" spans="1:4" x14ac:dyDescent="0.25">
      <c r="A43" s="70" t="s">
        <v>89</v>
      </c>
      <c r="B43" s="67">
        <f>((((B38)+(B39))+(B40))+(B41))+(B42)</f>
        <v>0</v>
      </c>
      <c r="C43" s="67"/>
      <c r="D43" s="67">
        <f>((((D38)+(D39))+(D40))+(D41))+(D42)</f>
        <v>0</v>
      </c>
    </row>
    <row r="44" spans="1:4" x14ac:dyDescent="0.25">
      <c r="A44" s="70" t="s">
        <v>90</v>
      </c>
      <c r="B44" s="65"/>
      <c r="C44" s="65"/>
      <c r="D44" s="65"/>
    </row>
    <row r="45" spans="1:4" x14ac:dyDescent="0.25">
      <c r="A45" s="70" t="s">
        <v>91</v>
      </c>
      <c r="B45" s="66">
        <f>0</f>
        <v>0</v>
      </c>
      <c r="C45" s="66"/>
      <c r="D45" s="66">
        <f>0</f>
        <v>0</v>
      </c>
    </row>
    <row r="46" spans="1:4" x14ac:dyDescent="0.25">
      <c r="A46" s="70" t="s">
        <v>92</v>
      </c>
      <c r="B46" s="66">
        <f>0</f>
        <v>0</v>
      </c>
      <c r="C46" s="66"/>
      <c r="D46" s="66">
        <f>0</f>
        <v>0</v>
      </c>
    </row>
    <row r="47" spans="1:4" x14ac:dyDescent="0.25">
      <c r="A47" s="70" t="s">
        <v>93</v>
      </c>
      <c r="B47" s="66">
        <f>0</f>
        <v>0</v>
      </c>
      <c r="C47" s="66"/>
      <c r="D47" s="66">
        <f>0</f>
        <v>0</v>
      </c>
    </row>
    <row r="48" spans="1:4" x14ac:dyDescent="0.25">
      <c r="A48" s="70" t="s">
        <v>94</v>
      </c>
      <c r="B48" s="66">
        <f>0</f>
        <v>0</v>
      </c>
      <c r="C48" s="66"/>
      <c r="D48" s="66">
        <f>0</f>
        <v>0</v>
      </c>
    </row>
    <row r="49" spans="1:4" x14ac:dyDescent="0.25">
      <c r="A49" s="70" t="s">
        <v>95</v>
      </c>
      <c r="B49" s="67">
        <f>((((B44)+(B45))+(B46))+(B47))+(B48)</f>
        <v>0</v>
      </c>
      <c r="C49" s="67"/>
      <c r="D49" s="67">
        <f>((((D44)+(D45))+(D46))+(D47))+(D48)</f>
        <v>0</v>
      </c>
    </row>
    <row r="50" spans="1:4" x14ac:dyDescent="0.25">
      <c r="A50" s="70" t="s">
        <v>96</v>
      </c>
      <c r="B50" s="65"/>
      <c r="C50" s="65"/>
      <c r="D50" s="65"/>
    </row>
    <row r="51" spans="1:4" x14ac:dyDescent="0.25">
      <c r="A51" s="70" t="s">
        <v>97</v>
      </c>
      <c r="B51" s="66">
        <f>681764.33</f>
        <v>681764.33</v>
      </c>
      <c r="C51" s="66"/>
      <c r="D51" s="66">
        <f>663419</f>
        <v>663419</v>
      </c>
    </row>
    <row r="52" spans="1:4" x14ac:dyDescent="0.25">
      <c r="A52" s="70" t="s">
        <v>98</v>
      </c>
      <c r="B52" s="66">
        <f>889000</f>
        <v>889000</v>
      </c>
      <c r="C52" s="66"/>
      <c r="D52" s="66">
        <f>889000</f>
        <v>889000</v>
      </c>
    </row>
    <row r="53" spans="1:4" x14ac:dyDescent="0.25">
      <c r="A53" s="70" t="s">
        <v>99</v>
      </c>
      <c r="B53" s="66">
        <f>639840.52</f>
        <v>639840.52</v>
      </c>
      <c r="C53" s="66"/>
      <c r="D53" s="66">
        <v>590200.82999999996</v>
      </c>
    </row>
    <row r="54" spans="1:4" x14ac:dyDescent="0.25">
      <c r="A54" s="70" t="s">
        <v>100</v>
      </c>
      <c r="B54" s="66">
        <f>0</f>
        <v>0</v>
      </c>
      <c r="C54" s="66"/>
      <c r="D54" s="66">
        <f>0</f>
        <v>0</v>
      </c>
    </row>
    <row r="55" spans="1:4" x14ac:dyDescent="0.25">
      <c r="A55" s="70" t="s">
        <v>101</v>
      </c>
      <c r="B55" s="66">
        <f>0</f>
        <v>0</v>
      </c>
      <c r="C55" s="66"/>
      <c r="D55" s="66">
        <f>0</f>
        <v>0</v>
      </c>
    </row>
    <row r="56" spans="1:4" x14ac:dyDescent="0.25">
      <c r="A56" s="70" t="s">
        <v>102</v>
      </c>
      <c r="B56" s="66">
        <f>54758.03</f>
        <v>54758.03</v>
      </c>
      <c r="C56" s="66"/>
      <c r="D56" s="66">
        <f>32058.03</f>
        <v>32058.03</v>
      </c>
    </row>
    <row r="57" spans="1:4" x14ac:dyDescent="0.25">
      <c r="A57" s="70" t="s">
        <v>103</v>
      </c>
      <c r="B57" s="66">
        <f>50676.4</f>
        <v>50676.4</v>
      </c>
      <c r="C57" s="66"/>
      <c r="D57" s="66">
        <f>50676.4</f>
        <v>50676.4</v>
      </c>
    </row>
    <row r="58" spans="1:4" x14ac:dyDescent="0.25">
      <c r="A58" s="70" t="s">
        <v>104</v>
      </c>
      <c r="B58" s="67">
        <f>((B55)+(B56))+(B57)</f>
        <v>105434.43</v>
      </c>
      <c r="C58" s="67"/>
      <c r="D58" s="67">
        <f>((D55)+(D56))+(D57)</f>
        <v>82734.429999999993</v>
      </c>
    </row>
    <row r="59" spans="1:4" x14ac:dyDescent="0.25">
      <c r="A59" s="70" t="s">
        <v>105</v>
      </c>
      <c r="B59" s="67">
        <f>(((((B50)+(B51))+(B52))+(B53))+(B54))+(B58)</f>
        <v>2316039.2800000003</v>
      </c>
      <c r="C59" s="67"/>
      <c r="D59" s="67">
        <f>(((((D50)+(D51))+(D52))+(D53))+(D54))+(D58)</f>
        <v>2225354.2600000002</v>
      </c>
    </row>
    <row r="60" spans="1:4" x14ac:dyDescent="0.25">
      <c r="A60" s="70" t="s">
        <v>106</v>
      </c>
      <c r="B60" s="65"/>
      <c r="C60" s="65"/>
      <c r="D60" s="65"/>
    </row>
    <row r="61" spans="1:4" x14ac:dyDescent="0.25">
      <c r="A61" s="70" t="s">
        <v>107</v>
      </c>
      <c r="B61" s="66">
        <f>-185481.36</f>
        <v>-185481.36</v>
      </c>
      <c r="C61" s="66"/>
      <c r="D61" s="66">
        <f>-168963.24</f>
        <v>-168963.24</v>
      </c>
    </row>
    <row r="62" spans="1:4" x14ac:dyDescent="0.25">
      <c r="A62" s="70" t="s">
        <v>108</v>
      </c>
      <c r="B62" s="66">
        <f>-153147.55</f>
        <v>-153147.54999999999</v>
      </c>
      <c r="C62" s="66"/>
      <c r="D62" s="66">
        <f>-88977.59</f>
        <v>-88977.59</v>
      </c>
    </row>
    <row r="63" spans="1:4" x14ac:dyDescent="0.25">
      <c r="A63" s="70" t="s">
        <v>109</v>
      </c>
      <c r="B63" s="66">
        <f>0</f>
        <v>0</v>
      </c>
      <c r="C63" s="66"/>
      <c r="D63" s="66">
        <f>-876.29</f>
        <v>-876.29</v>
      </c>
    </row>
    <row r="64" spans="1:4" x14ac:dyDescent="0.25">
      <c r="A64" s="70" t="s">
        <v>110</v>
      </c>
      <c r="B64" s="65"/>
      <c r="C64" s="65"/>
      <c r="D64" s="65"/>
    </row>
    <row r="65" spans="1:4" x14ac:dyDescent="0.25">
      <c r="A65" s="70" t="s">
        <v>111</v>
      </c>
      <c r="B65" s="66">
        <f>-24020.97</f>
        <v>-24020.97</v>
      </c>
      <c r="C65" s="66"/>
      <c r="D65" s="66">
        <f>-23066.07</f>
        <v>-23066.07</v>
      </c>
    </row>
    <row r="66" spans="1:4" x14ac:dyDescent="0.25">
      <c r="A66" s="70" t="s">
        <v>112</v>
      </c>
      <c r="B66" s="66">
        <f>-42338.58</f>
        <v>-42338.58</v>
      </c>
      <c r="C66" s="66"/>
      <c r="D66" s="66">
        <f>-40696.58</f>
        <v>-40696.58</v>
      </c>
    </row>
    <row r="67" spans="1:4" x14ac:dyDescent="0.25">
      <c r="A67" s="70" t="s">
        <v>113</v>
      </c>
      <c r="B67" s="67">
        <f>((B64)+(B65))+(B66)</f>
        <v>-66359.55</v>
      </c>
      <c r="C67" s="67"/>
      <c r="D67" s="67">
        <f>((D64)+(D65))+(D66)</f>
        <v>-63762.65</v>
      </c>
    </row>
    <row r="68" spans="1:4" x14ac:dyDescent="0.25">
      <c r="A68" s="70" t="s">
        <v>114</v>
      </c>
      <c r="B68" s="67">
        <f>((((B60)+(B61))+(B62))+(B63))+(B67)</f>
        <v>-404988.45999999996</v>
      </c>
      <c r="C68" s="67"/>
      <c r="D68" s="67">
        <f>((((D60)+(D61))+(D62))+(D63))+(D67)</f>
        <v>-322579.77</v>
      </c>
    </row>
    <row r="69" spans="1:4" x14ac:dyDescent="0.25">
      <c r="A69" s="70" t="s">
        <v>115</v>
      </c>
      <c r="B69" s="67">
        <f>((((B37)+(B43))+(B49))+(B59))+(B68)</f>
        <v>1911050.8200000003</v>
      </c>
      <c r="C69" s="67"/>
      <c r="D69" s="67">
        <f>((((D37)+(D43))+(D49))+(D59))+(D68)</f>
        <v>1902774.4900000002</v>
      </c>
    </row>
    <row r="70" spans="1:4" x14ac:dyDescent="0.25">
      <c r="A70" s="70" t="s">
        <v>116</v>
      </c>
      <c r="B70" s="67">
        <f>B69</f>
        <v>1911050.8200000003</v>
      </c>
      <c r="C70" s="67"/>
      <c r="D70" s="67">
        <f>D69</f>
        <v>1902774.4900000002</v>
      </c>
    </row>
    <row r="71" spans="1:4" x14ac:dyDescent="0.25">
      <c r="A71" s="70" t="s">
        <v>117</v>
      </c>
      <c r="B71" s="65"/>
      <c r="C71" s="65"/>
      <c r="D71" s="65"/>
    </row>
    <row r="72" spans="1:4" x14ac:dyDescent="0.25">
      <c r="A72" s="70" t="s">
        <v>118</v>
      </c>
      <c r="B72" s="65"/>
      <c r="C72" s="65"/>
      <c r="D72" s="65"/>
    </row>
    <row r="73" spans="1:4" x14ac:dyDescent="0.25">
      <c r="A73" s="70" t="s">
        <v>119</v>
      </c>
      <c r="B73" s="66">
        <f>0</f>
        <v>0</v>
      </c>
      <c r="C73" s="66"/>
      <c r="D73" s="66">
        <f>0</f>
        <v>0</v>
      </c>
    </row>
    <row r="74" spans="1:4" x14ac:dyDescent="0.25">
      <c r="A74" s="70" t="s">
        <v>120</v>
      </c>
      <c r="B74" s="66">
        <f>0</f>
        <v>0</v>
      </c>
      <c r="C74" s="66"/>
      <c r="D74" s="66">
        <f>0</f>
        <v>0</v>
      </c>
    </row>
    <row r="75" spans="1:4" x14ac:dyDescent="0.25">
      <c r="A75" s="70" t="s">
        <v>121</v>
      </c>
      <c r="B75" s="66">
        <f>0</f>
        <v>0</v>
      </c>
      <c r="C75" s="66"/>
      <c r="D75" s="66">
        <f>0</f>
        <v>0</v>
      </c>
    </row>
    <row r="76" spans="1:4" x14ac:dyDescent="0.25">
      <c r="A76" s="70" t="s">
        <v>122</v>
      </c>
      <c r="B76" s="66">
        <f>0</f>
        <v>0</v>
      </c>
      <c r="C76" s="66"/>
      <c r="D76" s="66">
        <f>0</f>
        <v>0</v>
      </c>
    </row>
    <row r="77" spans="1:4" x14ac:dyDescent="0.25">
      <c r="A77" s="70" t="s">
        <v>123</v>
      </c>
      <c r="B77" s="66">
        <f>0</f>
        <v>0</v>
      </c>
      <c r="C77" s="66"/>
      <c r="D77" s="66">
        <f>0</f>
        <v>0</v>
      </c>
    </row>
    <row r="78" spans="1:4" x14ac:dyDescent="0.25">
      <c r="A78" s="70" t="s">
        <v>124</v>
      </c>
      <c r="B78" s="67">
        <f>(((B74)+(B75))+(B76))+(B77)</f>
        <v>0</v>
      </c>
      <c r="C78" s="67"/>
      <c r="D78" s="67">
        <f>(((D74)+(D75))+(D76))+(D77)</f>
        <v>0</v>
      </c>
    </row>
    <row r="79" spans="1:4" x14ac:dyDescent="0.25">
      <c r="A79" s="70" t="s">
        <v>125</v>
      </c>
      <c r="B79" s="66">
        <f>0</f>
        <v>0</v>
      </c>
      <c r="C79" s="66"/>
      <c r="D79" s="66">
        <f>0</f>
        <v>0</v>
      </c>
    </row>
    <row r="80" spans="1:4" x14ac:dyDescent="0.25">
      <c r="A80" s="70" t="s">
        <v>126</v>
      </c>
      <c r="B80" s="66">
        <f>42937.68</f>
        <v>42937.68</v>
      </c>
      <c r="C80" s="66"/>
      <c r="D80" s="66">
        <f>50848.24</f>
        <v>50848.24</v>
      </c>
    </row>
    <row r="81" spans="1:4" x14ac:dyDescent="0.25">
      <c r="A81" s="70" t="s">
        <v>127</v>
      </c>
      <c r="B81" s="66">
        <f>81139.96</f>
        <v>81139.960000000006</v>
      </c>
      <c r="C81" s="66"/>
      <c r="D81" s="66">
        <f>96088.57</f>
        <v>96088.57</v>
      </c>
    </row>
    <row r="82" spans="1:4" x14ac:dyDescent="0.25">
      <c r="A82" s="70" t="s">
        <v>128</v>
      </c>
      <c r="B82" s="66">
        <f>21651.17</f>
        <v>21651.17</v>
      </c>
      <c r="C82" s="66"/>
      <c r="D82" s="66">
        <f>21651.17</f>
        <v>21651.17</v>
      </c>
    </row>
    <row r="83" spans="1:4" x14ac:dyDescent="0.25">
      <c r="A83" s="70" t="s">
        <v>129</v>
      </c>
      <c r="B83" s="67">
        <f>((((((B72)+(B73))+(B78))+(B79))+(B80))+(B81))+(B82)</f>
        <v>145728.81</v>
      </c>
      <c r="C83" s="67"/>
      <c r="D83" s="67">
        <f>((((((D72)+(D73))+(D78))+(D79))+(D80))+(D81))+(D82)</f>
        <v>168587.97999999998</v>
      </c>
    </row>
    <row r="84" spans="1:4" x14ac:dyDescent="0.25">
      <c r="A84" s="70" t="s">
        <v>130</v>
      </c>
      <c r="B84" s="66">
        <f>0</f>
        <v>0</v>
      </c>
      <c r="C84" s="66"/>
      <c r="D84" s="66">
        <f>0</f>
        <v>0</v>
      </c>
    </row>
    <row r="85" spans="1:4" x14ac:dyDescent="0.25">
      <c r="A85" s="70" t="s">
        <v>131</v>
      </c>
      <c r="B85" s="67">
        <f>(B83)+(B84)</f>
        <v>145728.81</v>
      </c>
      <c r="C85" s="67"/>
      <c r="D85" s="67">
        <f>(D83)+(D84)</f>
        <v>168587.97999999998</v>
      </c>
    </row>
    <row r="86" spans="1:4" x14ac:dyDescent="0.25">
      <c r="A86" s="70" t="s">
        <v>132</v>
      </c>
      <c r="B86" s="67">
        <f>((B35)+(B70))+(B85)</f>
        <v>2565511.6300000004</v>
      </c>
      <c r="C86" s="67"/>
      <c r="D86" s="67">
        <f>((D35)+(D70))+(D85)</f>
        <v>2795122.6100000003</v>
      </c>
    </row>
    <row r="87" spans="1:4" x14ac:dyDescent="0.25">
      <c r="A87" s="70" t="s">
        <v>133</v>
      </c>
      <c r="B87" s="65"/>
      <c r="C87" s="65"/>
      <c r="D87" s="65"/>
    </row>
    <row r="88" spans="1:4" x14ac:dyDescent="0.25">
      <c r="A88" s="70" t="s">
        <v>134</v>
      </c>
      <c r="B88" s="65"/>
      <c r="C88" s="65"/>
      <c r="D88" s="65"/>
    </row>
    <row r="89" spans="1:4" x14ac:dyDescent="0.25">
      <c r="A89" s="70" t="s">
        <v>135</v>
      </c>
      <c r="B89" s="65"/>
      <c r="C89" s="65"/>
      <c r="D89" s="65"/>
    </row>
    <row r="90" spans="1:4" x14ac:dyDescent="0.25">
      <c r="A90" s="70" t="s">
        <v>136</v>
      </c>
      <c r="B90" s="65"/>
      <c r="C90" s="65"/>
      <c r="D90" s="65"/>
    </row>
    <row r="91" spans="1:4" x14ac:dyDescent="0.25">
      <c r="A91" s="70" t="s">
        <v>137</v>
      </c>
      <c r="B91" s="66">
        <f>8381.02</f>
        <v>8381.02</v>
      </c>
      <c r="C91" s="66"/>
      <c r="D91" s="66">
        <f>2520.54</f>
        <v>2520.54</v>
      </c>
    </row>
    <row r="92" spans="1:4" x14ac:dyDescent="0.25">
      <c r="A92" s="70" t="s">
        <v>138</v>
      </c>
      <c r="B92" s="67">
        <f>B91</f>
        <v>8381.02</v>
      </c>
      <c r="C92" s="67"/>
      <c r="D92" s="67">
        <f>D91</f>
        <v>2520.54</v>
      </c>
    </row>
    <row r="93" spans="1:4" x14ac:dyDescent="0.25">
      <c r="A93" s="70" t="s">
        <v>139</v>
      </c>
      <c r="B93" s="65"/>
      <c r="C93" s="65"/>
      <c r="D93" s="65"/>
    </row>
    <row r="94" spans="1:4" x14ac:dyDescent="0.25">
      <c r="A94" s="70" t="s">
        <v>140</v>
      </c>
      <c r="B94" s="65"/>
      <c r="C94" s="65"/>
      <c r="D94" s="65"/>
    </row>
    <row r="95" spans="1:4" x14ac:dyDescent="0.25">
      <c r="A95" s="70" t="s">
        <v>141</v>
      </c>
      <c r="B95" s="66">
        <f>0</f>
        <v>0</v>
      </c>
      <c r="C95" s="66"/>
      <c r="D95" s="66">
        <f>95.28</f>
        <v>95.28</v>
      </c>
    </row>
    <row r="96" spans="1:4" x14ac:dyDescent="0.25">
      <c r="A96" s="70" t="s">
        <v>142</v>
      </c>
      <c r="B96" s="66">
        <f>1972.9</f>
        <v>1972.9</v>
      </c>
      <c r="C96" s="66"/>
      <c r="D96" s="66">
        <f>973.25</f>
        <v>973.25</v>
      </c>
    </row>
    <row r="97" spans="1:4" x14ac:dyDescent="0.25">
      <c r="A97" s="70" t="s">
        <v>143</v>
      </c>
      <c r="B97" s="66">
        <f>0</f>
        <v>0</v>
      </c>
      <c r="C97" s="66"/>
      <c r="D97" s="66">
        <f>0</f>
        <v>0</v>
      </c>
    </row>
    <row r="98" spans="1:4" x14ac:dyDescent="0.25">
      <c r="A98" s="70" t="s">
        <v>144</v>
      </c>
      <c r="B98" s="66">
        <f>13</f>
        <v>13</v>
      </c>
      <c r="C98" s="66"/>
      <c r="D98" s="66">
        <f>4541.66</f>
        <v>4541.66</v>
      </c>
    </row>
    <row r="99" spans="1:4" x14ac:dyDescent="0.25">
      <c r="A99" s="70" t="s">
        <v>145</v>
      </c>
      <c r="B99" s="66">
        <f>25.7</f>
        <v>25.7</v>
      </c>
      <c r="C99" s="66"/>
      <c r="D99" s="65"/>
    </row>
    <row r="100" spans="1:4" x14ac:dyDescent="0.25">
      <c r="A100" s="70" t="s">
        <v>146</v>
      </c>
      <c r="B100" s="66">
        <f>0</f>
        <v>0</v>
      </c>
      <c r="C100" s="66"/>
      <c r="D100" s="65"/>
    </row>
    <row r="101" spans="1:4" x14ac:dyDescent="0.25">
      <c r="A101" s="70" t="s">
        <v>147</v>
      </c>
      <c r="B101" s="67">
        <f>((((((B94)+(B95))+(B96))+(B97))+(B98))+(B99))+(B100)</f>
        <v>2011.6000000000001</v>
      </c>
      <c r="C101" s="67"/>
      <c r="D101" s="67">
        <f>((((((D94)+(D95))+(D96))+(D97))+(D98))+(D99))+(D100)</f>
        <v>5610.19</v>
      </c>
    </row>
    <row r="102" spans="1:4" x14ac:dyDescent="0.25">
      <c r="A102" s="70" t="s">
        <v>148</v>
      </c>
      <c r="B102" s="65"/>
      <c r="C102" s="65"/>
      <c r="D102" s="65"/>
    </row>
    <row r="103" spans="1:4" x14ac:dyDescent="0.25">
      <c r="A103" s="70" t="s">
        <v>149</v>
      </c>
      <c r="B103" s="66">
        <f>0</f>
        <v>0</v>
      </c>
      <c r="C103" s="66"/>
      <c r="D103" s="66">
        <f>0</f>
        <v>0</v>
      </c>
    </row>
    <row r="104" spans="1:4" x14ac:dyDescent="0.25">
      <c r="A104" s="70" t="s">
        <v>150</v>
      </c>
      <c r="B104" s="66">
        <f>0</f>
        <v>0</v>
      </c>
      <c r="C104" s="66"/>
      <c r="D104" s="66">
        <f>0</f>
        <v>0</v>
      </c>
    </row>
    <row r="105" spans="1:4" x14ac:dyDescent="0.25">
      <c r="A105" s="70" t="s">
        <v>151</v>
      </c>
      <c r="B105" s="66">
        <f>0</f>
        <v>0</v>
      </c>
      <c r="C105" s="66"/>
      <c r="D105" s="66">
        <f>0</f>
        <v>0</v>
      </c>
    </row>
    <row r="106" spans="1:4" x14ac:dyDescent="0.25">
      <c r="A106" s="70" t="s">
        <v>152</v>
      </c>
      <c r="B106" s="66">
        <f>0</f>
        <v>0</v>
      </c>
      <c r="C106" s="66"/>
      <c r="D106" s="66">
        <f>0</f>
        <v>0</v>
      </c>
    </row>
    <row r="107" spans="1:4" x14ac:dyDescent="0.25">
      <c r="A107" s="70" t="s">
        <v>153</v>
      </c>
      <c r="B107" s="66">
        <f>0</f>
        <v>0</v>
      </c>
      <c r="C107" s="66"/>
      <c r="D107" s="66">
        <f>0</f>
        <v>0</v>
      </c>
    </row>
    <row r="108" spans="1:4" x14ac:dyDescent="0.25">
      <c r="A108" s="70" t="s">
        <v>154</v>
      </c>
      <c r="B108" s="66">
        <f>0</f>
        <v>0</v>
      </c>
      <c r="C108" s="66"/>
      <c r="D108" s="66">
        <f>0</f>
        <v>0</v>
      </c>
    </row>
    <row r="109" spans="1:4" x14ac:dyDescent="0.25">
      <c r="A109" s="70" t="s">
        <v>155</v>
      </c>
      <c r="B109" s="66">
        <f>0</f>
        <v>0</v>
      </c>
      <c r="C109" s="66"/>
      <c r="D109" s="66">
        <f>0</f>
        <v>0</v>
      </c>
    </row>
    <row r="110" spans="1:4" x14ac:dyDescent="0.25">
      <c r="A110" s="70" t="s">
        <v>156</v>
      </c>
      <c r="B110" s="67">
        <f>(((((((B102)+(B103))+(B104))+(B105))+(B106))+(B107))+(B108))+(B109)</f>
        <v>0</v>
      </c>
      <c r="C110" s="67"/>
      <c r="D110" s="67">
        <f>(((((((D102)+(D103))+(D104))+(D105))+(D106))+(D107))+(D108))+(D109)</f>
        <v>0</v>
      </c>
    </row>
    <row r="111" spans="1:4" x14ac:dyDescent="0.25">
      <c r="A111" s="70" t="s">
        <v>157</v>
      </c>
      <c r="B111" s="67">
        <f>(B101)+(B110)</f>
        <v>2011.6000000000001</v>
      </c>
      <c r="C111" s="67"/>
      <c r="D111" s="67">
        <f>(D101)+(D110)</f>
        <v>5610.19</v>
      </c>
    </row>
    <row r="112" spans="1:4" x14ac:dyDescent="0.25">
      <c r="A112" s="70" t="s">
        <v>158</v>
      </c>
      <c r="B112" s="65"/>
      <c r="C112" s="65"/>
      <c r="D112" s="65"/>
    </row>
    <row r="113" spans="1:4" x14ac:dyDescent="0.25">
      <c r="A113" s="70" t="s">
        <v>159</v>
      </c>
      <c r="B113" s="66">
        <f>0</f>
        <v>0</v>
      </c>
      <c r="C113" s="66"/>
      <c r="D113" s="66">
        <f>0</f>
        <v>0</v>
      </c>
    </row>
    <row r="114" spans="1:4" x14ac:dyDescent="0.25">
      <c r="A114" s="70" t="s">
        <v>160</v>
      </c>
      <c r="B114" s="66">
        <f>0</f>
        <v>0</v>
      </c>
      <c r="C114" s="66"/>
      <c r="D114" s="66">
        <f>0</f>
        <v>0</v>
      </c>
    </row>
    <row r="115" spans="1:4" x14ac:dyDescent="0.25">
      <c r="A115" s="70" t="s">
        <v>161</v>
      </c>
      <c r="B115" s="66">
        <f>1774.69</f>
        <v>1774.69</v>
      </c>
      <c r="C115" s="66"/>
      <c r="D115" s="66">
        <f>0</f>
        <v>0</v>
      </c>
    </row>
    <row r="116" spans="1:4" x14ac:dyDescent="0.25">
      <c r="A116" s="70" t="s">
        <v>162</v>
      </c>
      <c r="B116" s="66">
        <f>2700</f>
        <v>2700</v>
      </c>
      <c r="C116" s="66"/>
      <c r="D116" s="66">
        <f>9100</f>
        <v>9100</v>
      </c>
    </row>
    <row r="117" spans="1:4" x14ac:dyDescent="0.25">
      <c r="A117" s="70" t="s">
        <v>163</v>
      </c>
      <c r="B117" s="66">
        <f>40.81</f>
        <v>40.81</v>
      </c>
      <c r="C117" s="66"/>
      <c r="D117" s="66">
        <f>0</f>
        <v>0</v>
      </c>
    </row>
    <row r="118" spans="1:4" x14ac:dyDescent="0.25">
      <c r="A118" s="70" t="s">
        <v>164</v>
      </c>
      <c r="B118" s="66">
        <f>0</f>
        <v>0</v>
      </c>
      <c r="C118" s="66"/>
      <c r="D118" s="66">
        <f>0</f>
        <v>0</v>
      </c>
    </row>
    <row r="119" spans="1:4" x14ac:dyDescent="0.25">
      <c r="A119" s="70" t="s">
        <v>165</v>
      </c>
      <c r="B119" s="66">
        <f>0</f>
        <v>0</v>
      </c>
      <c r="C119" s="66"/>
      <c r="D119" s="66">
        <f>0</f>
        <v>0</v>
      </c>
    </row>
    <row r="120" spans="1:4" x14ac:dyDescent="0.25">
      <c r="A120" s="70" t="s">
        <v>166</v>
      </c>
      <c r="B120" s="66">
        <f>0</f>
        <v>0</v>
      </c>
      <c r="C120" s="66"/>
      <c r="D120" s="66">
        <f>0</f>
        <v>0</v>
      </c>
    </row>
    <row r="121" spans="1:4" x14ac:dyDescent="0.25">
      <c r="A121" s="70" t="s">
        <v>167</v>
      </c>
      <c r="B121" s="66">
        <f>0</f>
        <v>0</v>
      </c>
      <c r="C121" s="66"/>
      <c r="D121" s="66">
        <f>0</f>
        <v>0</v>
      </c>
    </row>
    <row r="122" spans="1:4" x14ac:dyDescent="0.25">
      <c r="A122" s="70" t="s">
        <v>168</v>
      </c>
      <c r="B122" s="65"/>
      <c r="C122" s="65"/>
      <c r="D122" s="65"/>
    </row>
    <row r="123" spans="1:4" x14ac:dyDescent="0.25">
      <c r="A123" s="70" t="s">
        <v>169</v>
      </c>
      <c r="B123" s="66">
        <f>407.18</f>
        <v>407.18</v>
      </c>
      <c r="C123" s="66"/>
      <c r="D123" s="66">
        <f>0</f>
        <v>0</v>
      </c>
    </row>
    <row r="124" spans="1:4" x14ac:dyDescent="0.25">
      <c r="A124" s="70" t="s">
        <v>170</v>
      </c>
      <c r="B124" s="66">
        <f>2320.87</f>
        <v>2320.87</v>
      </c>
      <c r="C124" s="66"/>
      <c r="D124" s="66">
        <f>1010.14</f>
        <v>1010.14</v>
      </c>
    </row>
    <row r="125" spans="1:4" x14ac:dyDescent="0.25">
      <c r="A125" s="70" t="s">
        <v>171</v>
      </c>
      <c r="B125" s="66">
        <f>0</f>
        <v>0</v>
      </c>
      <c r="C125" s="66"/>
      <c r="D125" s="66">
        <f>0</f>
        <v>0</v>
      </c>
    </row>
    <row r="126" spans="1:4" x14ac:dyDescent="0.25">
      <c r="A126" s="70" t="s">
        <v>172</v>
      </c>
      <c r="B126" s="66">
        <f>0</f>
        <v>0</v>
      </c>
      <c r="C126" s="66"/>
      <c r="D126" s="66">
        <f>0</f>
        <v>0</v>
      </c>
    </row>
    <row r="127" spans="1:4" x14ac:dyDescent="0.25">
      <c r="A127" s="70" t="s">
        <v>173</v>
      </c>
      <c r="B127" s="66">
        <f>0</f>
        <v>0</v>
      </c>
      <c r="C127" s="66"/>
      <c r="D127" s="66">
        <f>0</f>
        <v>0</v>
      </c>
    </row>
    <row r="128" spans="1:4" x14ac:dyDescent="0.25">
      <c r="A128" s="70" t="s">
        <v>174</v>
      </c>
      <c r="B128" s="66">
        <f>0</f>
        <v>0</v>
      </c>
      <c r="C128" s="66"/>
      <c r="D128" s="65"/>
    </row>
    <row r="129" spans="1:4" x14ac:dyDescent="0.25">
      <c r="A129" s="70" t="s">
        <v>175</v>
      </c>
      <c r="B129" s="66">
        <f>0</f>
        <v>0</v>
      </c>
      <c r="C129" s="66"/>
      <c r="D129" s="66">
        <f>0</f>
        <v>0</v>
      </c>
    </row>
    <row r="130" spans="1:4" x14ac:dyDescent="0.25">
      <c r="A130" s="70" t="s">
        <v>176</v>
      </c>
      <c r="B130" s="66">
        <f>272.28</f>
        <v>272.27999999999997</v>
      </c>
      <c r="C130" s="66"/>
      <c r="D130" s="65"/>
    </row>
    <row r="131" spans="1:4" x14ac:dyDescent="0.25">
      <c r="A131" s="70" t="s">
        <v>177</v>
      </c>
      <c r="B131" s="66">
        <f>486.52</f>
        <v>486.52</v>
      </c>
      <c r="C131" s="66"/>
      <c r="D131" s="66">
        <f>0</f>
        <v>0</v>
      </c>
    </row>
    <row r="132" spans="1:4" x14ac:dyDescent="0.25">
      <c r="A132" s="70" t="s">
        <v>178</v>
      </c>
      <c r="B132" s="66">
        <f>86.4</f>
        <v>86.4</v>
      </c>
      <c r="C132" s="66"/>
      <c r="D132" s="66">
        <f>0</f>
        <v>0</v>
      </c>
    </row>
    <row r="133" spans="1:4" x14ac:dyDescent="0.25">
      <c r="A133" s="70" t="s">
        <v>179</v>
      </c>
      <c r="B133" s="66">
        <f>25.51</f>
        <v>25.51</v>
      </c>
      <c r="C133" s="66"/>
      <c r="D133" s="66">
        <f>799.22</f>
        <v>799.22</v>
      </c>
    </row>
    <row r="134" spans="1:4" x14ac:dyDescent="0.25">
      <c r="A134" s="70" t="s">
        <v>180</v>
      </c>
      <c r="B134" s="67">
        <f>(((((((((((B122)+(B123))+(B124))+(B125))+(B126))+(B127))+(B128))+(B129))+(B130))+(B131))+(B132))+(B133)</f>
        <v>3598.76</v>
      </c>
      <c r="C134" s="67"/>
      <c r="D134" s="67">
        <f>(((((((((((D122)+(D123))+(D124))+(D125))+(D126))+(D127))+(D128))+(D129))+(D130))+(D131))+(D132))+(D133)</f>
        <v>1809.3600000000001</v>
      </c>
    </row>
    <row r="135" spans="1:4" x14ac:dyDescent="0.25">
      <c r="A135" s="70" t="s">
        <v>181</v>
      </c>
      <c r="B135" s="67">
        <f>(((((((((B113)+(B114))+(B115))+(B116))+(B117))+(B118))+(B119))+(B120))+(B121))+(B134)</f>
        <v>8114.2600000000011</v>
      </c>
      <c r="C135" s="67"/>
      <c r="D135" s="67">
        <f>(((((((((D113)+(D114))+(D115))+(D116))+(D117))+(D118))+(D119))+(D120))+(D121))+(D134)</f>
        <v>10909.36</v>
      </c>
    </row>
    <row r="136" spans="1:4" x14ac:dyDescent="0.25">
      <c r="A136" s="70" t="s">
        <v>182</v>
      </c>
      <c r="B136" s="67">
        <f>((B92)+(B111))+(B135)</f>
        <v>18506.88</v>
      </c>
      <c r="C136" s="67"/>
      <c r="D136" s="67">
        <f>((D92)+(D111))+(D135)</f>
        <v>19040.09</v>
      </c>
    </row>
    <row r="137" spans="1:4" x14ac:dyDescent="0.25">
      <c r="A137" s="70" t="s">
        <v>183</v>
      </c>
      <c r="B137" s="67">
        <f>B136</f>
        <v>18506.88</v>
      </c>
      <c r="C137" s="67"/>
      <c r="D137" s="67">
        <f>D136</f>
        <v>19040.09</v>
      </c>
    </row>
    <row r="138" spans="1:4" x14ac:dyDescent="0.25">
      <c r="A138" s="70" t="s">
        <v>184</v>
      </c>
      <c r="B138" s="65"/>
      <c r="C138" s="65"/>
      <c r="D138" s="65"/>
    </row>
    <row r="139" spans="1:4" x14ac:dyDescent="0.25">
      <c r="A139" s="70" t="s">
        <v>185</v>
      </c>
      <c r="B139" s="66">
        <f>0</f>
        <v>0</v>
      </c>
      <c r="C139" s="66"/>
      <c r="D139" s="66">
        <f>0</f>
        <v>0</v>
      </c>
    </row>
    <row r="140" spans="1:4" x14ac:dyDescent="0.25">
      <c r="A140" s="70" t="s">
        <v>186</v>
      </c>
      <c r="B140" s="66">
        <f>2024801.46</f>
        <v>2024801.46</v>
      </c>
      <c r="C140" s="66"/>
      <c r="D140" s="66">
        <v>1753382.93</v>
      </c>
    </row>
    <row r="141" spans="1:4" x14ac:dyDescent="0.25">
      <c r="A141" s="70" t="s">
        <v>187</v>
      </c>
      <c r="B141" s="66">
        <f>280804.33</f>
        <v>280804.33</v>
      </c>
      <c r="C141" s="66"/>
      <c r="D141" s="66">
        <v>385651.43</v>
      </c>
    </row>
    <row r="142" spans="1:4" x14ac:dyDescent="0.25">
      <c r="A142" s="70" t="s">
        <v>188</v>
      </c>
      <c r="B142" s="67">
        <f>((B139)+(B140))+(B141)</f>
        <v>2305605.79</v>
      </c>
      <c r="C142" s="67"/>
      <c r="D142" s="67">
        <f>((D139)+(D140))+(D141)</f>
        <v>2139034.36</v>
      </c>
    </row>
    <row r="143" spans="1:4" x14ac:dyDescent="0.25">
      <c r="A143" s="70" t="s">
        <v>189</v>
      </c>
      <c r="B143" s="66">
        <f>194551.61</f>
        <v>194551.61</v>
      </c>
      <c r="C143" s="66"/>
      <c r="D143" s="66">
        <f>0</f>
        <v>0</v>
      </c>
    </row>
    <row r="144" spans="1:4" x14ac:dyDescent="0.25">
      <c r="A144" s="70" t="s">
        <v>190</v>
      </c>
      <c r="B144" s="65"/>
      <c r="C144" s="65"/>
      <c r="D144" s="65"/>
    </row>
    <row r="145" spans="1:4" x14ac:dyDescent="0.25">
      <c r="A145" s="70" t="s">
        <v>191</v>
      </c>
      <c r="B145" s="66">
        <f>79758</f>
        <v>79758</v>
      </c>
      <c r="C145" s="66"/>
      <c r="D145" s="66">
        <f>83848.17</f>
        <v>83848.17</v>
      </c>
    </row>
    <row r="146" spans="1:4" x14ac:dyDescent="0.25">
      <c r="A146" s="70" t="s">
        <v>192</v>
      </c>
      <c r="B146" s="66">
        <f>97022.86</f>
        <v>97022.86</v>
      </c>
      <c r="C146" s="66"/>
      <c r="D146" s="66">
        <v>130157.13</v>
      </c>
    </row>
    <row r="147" spans="1:4" x14ac:dyDescent="0.25">
      <c r="A147" s="70" t="s">
        <v>193</v>
      </c>
      <c r="B147" s="66">
        <f>0</f>
        <v>0</v>
      </c>
      <c r="C147" s="66"/>
      <c r="D147" s="66">
        <f>0</f>
        <v>0</v>
      </c>
    </row>
    <row r="148" spans="1:4" x14ac:dyDescent="0.25">
      <c r="A148" s="70" t="s">
        <v>194</v>
      </c>
      <c r="B148" s="66">
        <f>64618.1</f>
        <v>64618.1</v>
      </c>
      <c r="C148" s="66"/>
      <c r="D148" s="66">
        <v>51095</v>
      </c>
    </row>
    <row r="149" spans="1:4" x14ac:dyDescent="0.25">
      <c r="A149" s="70" t="s">
        <v>195</v>
      </c>
      <c r="B149" s="67">
        <f>((((B144)+(B145))+(B146))+(B147))+(B148)</f>
        <v>241398.96</v>
      </c>
      <c r="C149" s="67"/>
      <c r="D149" s="67">
        <f>((((D144)+(D145))+(D146))+(D147))+(D148)</f>
        <v>265100.3</v>
      </c>
    </row>
    <row r="150" spans="1:4" x14ac:dyDescent="0.25">
      <c r="A150" s="70" t="s">
        <v>196</v>
      </c>
      <c r="B150" s="66">
        <f>0</f>
        <v>0</v>
      </c>
      <c r="C150" s="66"/>
      <c r="D150" s="66">
        <f>0</f>
        <v>0</v>
      </c>
    </row>
    <row r="151" spans="1:4" x14ac:dyDescent="0.25">
      <c r="A151" s="70" t="s">
        <v>197</v>
      </c>
      <c r="B151" s="66">
        <f>-194551.61</f>
        <v>-194551.61</v>
      </c>
      <c r="C151" s="66"/>
      <c r="D151" s="66">
        <v>371947.86</v>
      </c>
    </row>
    <row r="152" spans="1:4" x14ac:dyDescent="0.25">
      <c r="A152" s="70" t="s">
        <v>198</v>
      </c>
      <c r="B152" s="67">
        <f>((((B142)+(B143))+(B149))+(B150))+(B151)</f>
        <v>2547004.75</v>
      </c>
      <c r="C152" s="67"/>
      <c r="D152" s="67">
        <f>((((D142)+(D143))+(D149))+(D150))+(D151)</f>
        <v>2776082.5199999996</v>
      </c>
    </row>
    <row r="153" spans="1:4" x14ac:dyDescent="0.25">
      <c r="A153" s="70" t="s">
        <v>199</v>
      </c>
      <c r="B153" s="67">
        <f>(B137)+(B152)</f>
        <v>2565511.63</v>
      </c>
      <c r="C153" s="67"/>
      <c r="D153" s="67">
        <f>(D137)+(D152)</f>
        <v>2795122.6099999994</v>
      </c>
    </row>
  </sheetData>
  <mergeCells count="4">
    <mergeCell ref="A1:D1"/>
    <mergeCell ref="A2:D2"/>
    <mergeCell ref="A3:D3"/>
    <mergeCell ref="B5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339DA-F4E9-4690-9DF5-2C52A9B81D91}">
  <dimension ref="A1:C137"/>
  <sheetViews>
    <sheetView topLeftCell="A24" workbookViewId="0">
      <selection activeCell="A72" sqref="A72"/>
    </sheetView>
  </sheetViews>
  <sheetFormatPr defaultRowHeight="15" x14ac:dyDescent="0.25"/>
  <cols>
    <col min="1" max="1" width="40" bestFit="1" customWidth="1"/>
    <col min="2" max="2" width="10.85546875" bestFit="1" customWidth="1"/>
    <col min="3" max="3" width="10.140625" bestFit="1" customWidth="1"/>
  </cols>
  <sheetData>
    <row r="1" spans="1:3" ht="18" x14ac:dyDescent="0.25">
      <c r="A1" s="56" t="s">
        <v>47</v>
      </c>
      <c r="B1" s="56"/>
      <c r="C1" s="56"/>
    </row>
    <row r="2" spans="1:3" ht="18" x14ac:dyDescent="0.25">
      <c r="A2" s="56" t="s">
        <v>200</v>
      </c>
      <c r="B2" s="56"/>
      <c r="C2" s="56"/>
    </row>
    <row r="3" spans="1:3" x14ac:dyDescent="0.25">
      <c r="A3" s="71" t="s">
        <v>1</v>
      </c>
      <c r="B3" s="71"/>
      <c r="C3" s="71"/>
    </row>
    <row r="5" spans="1:3" x14ac:dyDescent="0.25">
      <c r="A5" s="59"/>
      <c r="B5" s="59"/>
      <c r="C5" s="63" t="s">
        <v>50</v>
      </c>
    </row>
    <row r="6" spans="1:3" x14ac:dyDescent="0.25">
      <c r="A6" s="64" t="s">
        <v>201</v>
      </c>
      <c r="B6" s="64"/>
      <c r="C6" s="65"/>
    </row>
    <row r="7" spans="1:3" x14ac:dyDescent="0.25">
      <c r="A7" s="70" t="s">
        <v>202</v>
      </c>
      <c r="B7" s="64"/>
      <c r="C7" s="65"/>
    </row>
    <row r="8" spans="1:3" x14ac:dyDescent="0.25">
      <c r="A8" s="70" t="s">
        <v>203</v>
      </c>
      <c r="B8" s="64"/>
      <c r="C8" s="65"/>
    </row>
    <row r="9" spans="1:3" x14ac:dyDescent="0.25">
      <c r="A9" s="70" t="s">
        <v>204</v>
      </c>
      <c r="B9" s="66">
        <v>170865.69</v>
      </c>
      <c r="C9" s="66">
        <v>150000</v>
      </c>
    </row>
    <row r="10" spans="1:3" x14ac:dyDescent="0.25">
      <c r="A10" s="70" t="s">
        <v>205</v>
      </c>
      <c r="B10" s="67">
        <f>(B8)+(B9)</f>
        <v>170865.69</v>
      </c>
      <c r="C10" s="67">
        <f>(C8)+(C9)</f>
        <v>150000</v>
      </c>
    </row>
    <row r="11" spans="1:3" x14ac:dyDescent="0.25">
      <c r="A11" s="70" t="s">
        <v>206</v>
      </c>
      <c r="B11" s="65"/>
      <c r="C11" s="65"/>
    </row>
    <row r="12" spans="1:3" x14ac:dyDescent="0.25">
      <c r="A12" s="70" t="s">
        <v>207</v>
      </c>
      <c r="B12" s="65"/>
      <c r="C12" s="65"/>
    </row>
    <row r="13" spans="1:3" x14ac:dyDescent="0.25">
      <c r="A13" s="70" t="s">
        <v>208</v>
      </c>
      <c r="B13" s="66">
        <v>166262.89000000001</v>
      </c>
      <c r="C13" s="66">
        <v>197350</v>
      </c>
    </row>
    <row r="14" spans="1:3" x14ac:dyDescent="0.25">
      <c r="A14" s="70" t="s">
        <v>209</v>
      </c>
      <c r="B14" s="67">
        <f>(B12)+(B13)</f>
        <v>166262.89000000001</v>
      </c>
      <c r="C14" s="67">
        <f>(C12)+(C13)</f>
        <v>197350</v>
      </c>
    </row>
    <row r="15" spans="1:3" x14ac:dyDescent="0.25">
      <c r="A15" s="70" t="s">
        <v>210</v>
      </c>
      <c r="B15" s="67">
        <f>(B11)+(B14)</f>
        <v>166262.89000000001</v>
      </c>
      <c r="C15" s="67">
        <f>(C11)+(C14)</f>
        <v>197350</v>
      </c>
    </row>
    <row r="16" spans="1:3" x14ac:dyDescent="0.25">
      <c r="A16" s="70" t="s">
        <v>211</v>
      </c>
      <c r="B16" s="65"/>
      <c r="C16" s="65"/>
    </row>
    <row r="17" spans="1:3" x14ac:dyDescent="0.25">
      <c r="A17" s="70" t="s">
        <v>212</v>
      </c>
      <c r="B17" s="65"/>
      <c r="C17" s="65"/>
    </row>
    <row r="18" spans="1:3" x14ac:dyDescent="0.25">
      <c r="A18" s="70" t="s">
        <v>213</v>
      </c>
      <c r="B18" s="66"/>
      <c r="C18" s="66">
        <v>0</v>
      </c>
    </row>
    <row r="19" spans="1:3" x14ac:dyDescent="0.25">
      <c r="A19" s="70" t="s">
        <v>214</v>
      </c>
      <c r="B19" s="67">
        <f>(B17)+(B18)</f>
        <v>0</v>
      </c>
      <c r="C19" s="67">
        <f>(C17)+(C18)</f>
        <v>0</v>
      </c>
    </row>
    <row r="20" spans="1:3" x14ac:dyDescent="0.25">
      <c r="A20" s="70" t="s">
        <v>215</v>
      </c>
      <c r="B20" s="65"/>
      <c r="C20" s="65"/>
    </row>
    <row r="21" spans="1:3" x14ac:dyDescent="0.25">
      <c r="A21" s="70" t="s">
        <v>216</v>
      </c>
      <c r="B21" s="65">
        <v>15.56</v>
      </c>
      <c r="C21" s="65">
        <v>100</v>
      </c>
    </row>
    <row r="22" spans="1:3" x14ac:dyDescent="0.25">
      <c r="A22" s="70" t="s">
        <v>217</v>
      </c>
      <c r="B22" s="65">
        <v>153.47</v>
      </c>
      <c r="C22" s="65"/>
    </row>
    <row r="23" spans="1:3" x14ac:dyDescent="0.25">
      <c r="A23" s="70" t="s">
        <v>218</v>
      </c>
      <c r="B23" s="66">
        <v>10274</v>
      </c>
      <c r="C23" s="66"/>
    </row>
    <row r="24" spans="1:3" x14ac:dyDescent="0.25">
      <c r="A24" s="70" t="s">
        <v>219</v>
      </c>
      <c r="B24" s="67">
        <f>SUM(B21:B23)</f>
        <v>10443.030000000001</v>
      </c>
      <c r="C24" s="67">
        <f>SUM(C21:C23)</f>
        <v>100</v>
      </c>
    </row>
    <row r="25" spans="1:3" x14ac:dyDescent="0.25">
      <c r="A25" s="70" t="s">
        <v>220</v>
      </c>
      <c r="B25" s="67">
        <f>((B16)+(B19))+(B24)</f>
        <v>10443.030000000001</v>
      </c>
      <c r="C25" s="67">
        <f>((C16)+(C19))+(C24)</f>
        <v>100</v>
      </c>
    </row>
    <row r="26" spans="1:3" x14ac:dyDescent="0.25">
      <c r="A26" s="70"/>
      <c r="B26" s="66"/>
      <c r="C26" s="66"/>
    </row>
    <row r="27" spans="1:3" x14ac:dyDescent="0.25">
      <c r="A27" s="70"/>
      <c r="B27" s="66"/>
      <c r="C27" s="66"/>
    </row>
    <row r="28" spans="1:3" x14ac:dyDescent="0.25">
      <c r="A28" s="70" t="s">
        <v>221</v>
      </c>
      <c r="B28" s="67">
        <f>B10+B15+B25</f>
        <v>347571.61000000004</v>
      </c>
      <c r="C28" s="67">
        <f>(((((C7)+(C10))+(C15))+(C25))+(C26))+(C27)</f>
        <v>347450</v>
      </c>
    </row>
    <row r="29" spans="1:3" x14ac:dyDescent="0.25">
      <c r="A29" s="70" t="s">
        <v>222</v>
      </c>
      <c r="B29" s="67"/>
      <c r="C29" s="67">
        <f>C28</f>
        <v>347450</v>
      </c>
    </row>
    <row r="30" spans="1:3" x14ac:dyDescent="0.25">
      <c r="A30" s="70" t="s">
        <v>223</v>
      </c>
      <c r="B30" s="67">
        <f>B28</f>
        <v>347571.61000000004</v>
      </c>
      <c r="C30" s="67">
        <f>(C29)-(0)</f>
        <v>347450</v>
      </c>
    </row>
    <row r="31" spans="1:3" x14ac:dyDescent="0.25">
      <c r="A31" s="70" t="s">
        <v>224</v>
      </c>
      <c r="B31" s="65"/>
      <c r="C31" s="65"/>
    </row>
    <row r="32" spans="1:3" x14ac:dyDescent="0.25">
      <c r="A32" s="70" t="s">
        <v>225</v>
      </c>
      <c r="B32" s="65"/>
      <c r="C32" s="65"/>
    </row>
    <row r="33" spans="1:3" x14ac:dyDescent="0.25">
      <c r="A33" s="70" t="s">
        <v>226</v>
      </c>
      <c r="B33" s="65"/>
      <c r="C33" s="65"/>
    </row>
    <row r="34" spans="1:3" x14ac:dyDescent="0.25">
      <c r="A34" s="70" t="s">
        <v>227</v>
      </c>
      <c r="B34" s="65"/>
      <c r="C34" s="65"/>
    </row>
    <row r="35" spans="1:3" x14ac:dyDescent="0.25">
      <c r="A35" s="70" t="s">
        <v>228</v>
      </c>
      <c r="B35" s="65"/>
      <c r="C35" s="65"/>
    </row>
    <row r="36" spans="1:3" x14ac:dyDescent="0.25">
      <c r="A36" s="70" t="s">
        <v>229</v>
      </c>
      <c r="B36" s="66">
        <v>35193.519999999997</v>
      </c>
      <c r="C36" s="66">
        <v>25375</v>
      </c>
    </row>
    <row r="37" spans="1:3" x14ac:dyDescent="0.25">
      <c r="A37" s="70" t="s">
        <v>230</v>
      </c>
      <c r="B37" s="66">
        <v>620.12</v>
      </c>
      <c r="C37" s="66">
        <v>4000</v>
      </c>
    </row>
    <row r="38" spans="1:3" x14ac:dyDescent="0.25">
      <c r="A38" s="70" t="s">
        <v>231</v>
      </c>
      <c r="B38" s="66"/>
      <c r="C38" s="66">
        <v>9625</v>
      </c>
    </row>
    <row r="39" spans="1:3" x14ac:dyDescent="0.25">
      <c r="A39" s="70" t="s">
        <v>232</v>
      </c>
      <c r="B39" s="66">
        <v>20229.82</v>
      </c>
      <c r="C39" s="66">
        <v>14800</v>
      </c>
    </row>
    <row r="40" spans="1:3" x14ac:dyDescent="0.25">
      <c r="A40" s="70" t="s">
        <v>233</v>
      </c>
      <c r="B40" s="66"/>
      <c r="C40" s="66">
        <v>1000</v>
      </c>
    </row>
    <row r="41" spans="1:3" x14ac:dyDescent="0.25">
      <c r="A41" s="70" t="s">
        <v>234</v>
      </c>
      <c r="B41" s="66">
        <v>13262.83</v>
      </c>
      <c r="C41" s="66">
        <v>10000</v>
      </c>
    </row>
    <row r="42" spans="1:3" x14ac:dyDescent="0.25">
      <c r="A42" s="70" t="s">
        <v>235</v>
      </c>
      <c r="B42" s="66"/>
      <c r="C42" s="66">
        <v>0</v>
      </c>
    </row>
    <row r="43" spans="1:3" x14ac:dyDescent="0.25">
      <c r="A43" s="70" t="s">
        <v>236</v>
      </c>
      <c r="B43" s="66"/>
      <c r="C43" s="66">
        <v>0</v>
      </c>
    </row>
    <row r="44" spans="1:3" x14ac:dyDescent="0.25">
      <c r="A44" s="70"/>
      <c r="B44" s="66"/>
      <c r="C44" s="66"/>
    </row>
    <row r="45" spans="1:3" x14ac:dyDescent="0.25">
      <c r="A45" s="70" t="s">
        <v>237</v>
      </c>
      <c r="B45" s="67">
        <f>SUM(B36:B44)</f>
        <v>69306.289999999994</v>
      </c>
      <c r="C45" s="67">
        <f>SUM(C35:C44)</f>
        <v>64800</v>
      </c>
    </row>
    <row r="46" spans="1:3" x14ac:dyDescent="0.25">
      <c r="A46" s="70" t="s">
        <v>238</v>
      </c>
      <c r="B46" s="67">
        <f>(B34)+(B45)</f>
        <v>69306.289999999994</v>
      </c>
      <c r="C46" s="67">
        <f>(C34)+(C45)</f>
        <v>64800</v>
      </c>
    </row>
    <row r="47" spans="1:3" x14ac:dyDescent="0.25">
      <c r="A47" s="70" t="s">
        <v>239</v>
      </c>
      <c r="B47" s="65"/>
      <c r="C47" s="65"/>
    </row>
    <row r="48" spans="1:3" x14ac:dyDescent="0.25">
      <c r="A48" s="70" t="s">
        <v>240</v>
      </c>
      <c r="B48" s="66">
        <v>13969.64</v>
      </c>
      <c r="C48" s="66">
        <v>13229.4</v>
      </c>
    </row>
    <row r="49" spans="1:3" x14ac:dyDescent="0.25">
      <c r="A49" s="70" t="s">
        <v>241</v>
      </c>
      <c r="B49" s="66">
        <v>365.05</v>
      </c>
      <c r="C49" s="66">
        <v>2000</v>
      </c>
    </row>
    <row r="50" spans="1:3" x14ac:dyDescent="0.25">
      <c r="A50" s="70" t="s">
        <v>242</v>
      </c>
      <c r="B50" s="66">
        <v>1381.63</v>
      </c>
      <c r="C50" s="66">
        <v>1389.09</v>
      </c>
    </row>
    <row r="51" spans="1:3" x14ac:dyDescent="0.25">
      <c r="A51" s="70" t="s">
        <v>243</v>
      </c>
      <c r="B51" s="66">
        <v>29.25</v>
      </c>
      <c r="C51" s="66">
        <v>1700</v>
      </c>
    </row>
    <row r="52" spans="1:3" x14ac:dyDescent="0.25">
      <c r="A52" s="70"/>
      <c r="B52" s="66"/>
      <c r="C52" s="66">
        <v>0</v>
      </c>
    </row>
    <row r="53" spans="1:3" x14ac:dyDescent="0.25">
      <c r="A53" s="70" t="s">
        <v>244</v>
      </c>
      <c r="B53" s="67">
        <f>SUM(B48:B52)</f>
        <v>15745.57</v>
      </c>
      <c r="C53" s="67">
        <f>SUM(C48:C52)</f>
        <v>18318.489999999998</v>
      </c>
    </row>
    <row r="54" spans="1:3" x14ac:dyDescent="0.25">
      <c r="A54" s="70" t="s">
        <v>245</v>
      </c>
      <c r="B54" s="65"/>
      <c r="C54" s="65"/>
    </row>
    <row r="55" spans="1:3" x14ac:dyDescent="0.25">
      <c r="A55" s="70" t="s">
        <v>246</v>
      </c>
      <c r="B55" s="66">
        <f>16740</f>
        <v>16740</v>
      </c>
      <c r="C55" s="66">
        <v>15600</v>
      </c>
    </row>
    <row r="56" spans="1:3" x14ac:dyDescent="0.25">
      <c r="A56" s="70" t="s">
        <v>247</v>
      </c>
      <c r="B56" s="66">
        <v>5460.66</v>
      </c>
      <c r="C56" s="66">
        <v>11200</v>
      </c>
    </row>
    <row r="57" spans="1:3" x14ac:dyDescent="0.25">
      <c r="A57" s="70" t="s">
        <v>248</v>
      </c>
      <c r="B57" s="66">
        <v>2121.81</v>
      </c>
      <c r="C57" s="66">
        <v>3276</v>
      </c>
    </row>
    <row r="58" spans="1:3" x14ac:dyDescent="0.25">
      <c r="A58" s="70" t="s">
        <v>249</v>
      </c>
      <c r="B58" s="66">
        <v>0</v>
      </c>
      <c r="C58" s="66"/>
    </row>
    <row r="59" spans="1:3" x14ac:dyDescent="0.25">
      <c r="A59" s="70" t="s">
        <v>250</v>
      </c>
      <c r="B59" s="66">
        <v>762.03</v>
      </c>
      <c r="C59" s="66">
        <v>1000</v>
      </c>
    </row>
    <row r="60" spans="1:3" x14ac:dyDescent="0.25">
      <c r="A60" s="70" t="s">
        <v>251</v>
      </c>
      <c r="B60" s="67">
        <f>SUM(B55:B59)</f>
        <v>25084.5</v>
      </c>
      <c r="C60" s="67">
        <f>SUM(C55:C59)</f>
        <v>31076</v>
      </c>
    </row>
    <row r="61" spans="1:3" x14ac:dyDescent="0.25">
      <c r="A61" s="78"/>
      <c r="B61" s="65"/>
      <c r="C61" s="65"/>
    </row>
    <row r="62" spans="1:3" x14ac:dyDescent="0.25">
      <c r="A62" s="70"/>
      <c r="B62" s="72"/>
      <c r="C62" s="72"/>
    </row>
    <row r="63" spans="1:3" x14ac:dyDescent="0.25">
      <c r="A63" s="70" t="s">
        <v>252</v>
      </c>
      <c r="B63" s="65"/>
      <c r="C63" s="65"/>
    </row>
    <row r="64" spans="1:3" x14ac:dyDescent="0.25">
      <c r="A64" s="70" t="s">
        <v>253</v>
      </c>
      <c r="B64" s="66">
        <f>616.94</f>
        <v>616.94000000000005</v>
      </c>
      <c r="C64" s="66">
        <v>550</v>
      </c>
    </row>
    <row r="65" spans="1:3" x14ac:dyDescent="0.25">
      <c r="A65" s="70" t="s">
        <v>254</v>
      </c>
      <c r="B65" s="66">
        <f>1698.38</f>
        <v>1698.38</v>
      </c>
      <c r="C65" s="66">
        <v>1387</v>
      </c>
    </row>
    <row r="66" spans="1:3" x14ac:dyDescent="0.25">
      <c r="A66" s="70" t="s">
        <v>255</v>
      </c>
      <c r="B66" s="66"/>
      <c r="C66" s="66">
        <f>140</f>
        <v>140</v>
      </c>
    </row>
    <row r="67" spans="1:3" x14ac:dyDescent="0.25">
      <c r="A67" s="70" t="s">
        <v>256</v>
      </c>
      <c r="B67" s="67">
        <f>SUM(B64:B66)</f>
        <v>2315.3200000000002</v>
      </c>
      <c r="C67" s="67">
        <f>(((C63)+(C64))+(C65))+(C66)</f>
        <v>2077</v>
      </c>
    </row>
    <row r="68" spans="1:3" x14ac:dyDescent="0.25">
      <c r="A68" s="70" t="s">
        <v>257</v>
      </c>
      <c r="B68" s="67">
        <f>B46+B53+B60+B67</f>
        <v>112451.68</v>
      </c>
      <c r="C68" s="67">
        <f>((((C33)+(C46))+(C53))+(C60))+(C67)</f>
        <v>116271.48999999999</v>
      </c>
    </row>
    <row r="69" spans="1:3" x14ac:dyDescent="0.25">
      <c r="A69" s="70" t="s">
        <v>258</v>
      </c>
      <c r="B69" s="65"/>
      <c r="C69" s="65"/>
    </row>
    <row r="70" spans="1:3" x14ac:dyDescent="0.25">
      <c r="A70" s="70" t="s">
        <v>259</v>
      </c>
      <c r="B70" s="65"/>
      <c r="C70" s="65"/>
    </row>
    <row r="71" spans="1:3" x14ac:dyDescent="0.25">
      <c r="A71" s="70" t="s">
        <v>260</v>
      </c>
      <c r="B71" s="66">
        <v>0</v>
      </c>
      <c r="C71" s="66">
        <v>2000</v>
      </c>
    </row>
    <row r="72" spans="1:3" x14ac:dyDescent="0.25">
      <c r="A72" s="70" t="s">
        <v>261</v>
      </c>
      <c r="B72" s="67">
        <f>(B70)+(B71)</f>
        <v>0</v>
      </c>
      <c r="C72" s="67">
        <f>(C70)+(C71)</f>
        <v>2000</v>
      </c>
    </row>
    <row r="73" spans="1:3" x14ac:dyDescent="0.25">
      <c r="A73" s="70" t="s">
        <v>262</v>
      </c>
      <c r="B73" s="66">
        <v>58350</v>
      </c>
      <c r="C73" s="66">
        <f>52000</f>
        <v>52000</v>
      </c>
    </row>
    <row r="74" spans="1:3" x14ac:dyDescent="0.25">
      <c r="A74" s="70" t="s">
        <v>263</v>
      </c>
      <c r="B74" s="66"/>
      <c r="C74" s="66"/>
    </row>
    <row r="75" spans="1:3" x14ac:dyDescent="0.25">
      <c r="A75" s="70" t="s">
        <v>264</v>
      </c>
      <c r="B75" s="66">
        <v>90000</v>
      </c>
      <c r="C75" s="66">
        <v>90000</v>
      </c>
    </row>
    <row r="76" spans="1:3" x14ac:dyDescent="0.25">
      <c r="A76" s="70" t="s">
        <v>265</v>
      </c>
      <c r="B76" s="66"/>
      <c r="C76" s="66"/>
    </row>
    <row r="77" spans="1:3" x14ac:dyDescent="0.25">
      <c r="A77" s="70" t="s">
        <v>266</v>
      </c>
      <c r="B77" s="65"/>
      <c r="C77" s="65"/>
    </row>
    <row r="78" spans="1:3" x14ac:dyDescent="0.25">
      <c r="A78" s="70" t="s">
        <v>267</v>
      </c>
      <c r="B78" s="66">
        <v>750</v>
      </c>
      <c r="C78" s="66">
        <f>2000</f>
        <v>2000</v>
      </c>
    </row>
    <row r="79" spans="1:3" x14ac:dyDescent="0.25">
      <c r="A79" s="70" t="s">
        <v>268</v>
      </c>
      <c r="B79" s="66">
        <v>45.34</v>
      </c>
      <c r="C79" s="66">
        <f>2000</f>
        <v>2000</v>
      </c>
    </row>
    <row r="80" spans="1:3" x14ac:dyDescent="0.25">
      <c r="A80" s="70" t="s">
        <v>269</v>
      </c>
      <c r="B80" s="66">
        <v>85</v>
      </c>
      <c r="C80" s="66">
        <f>1000</f>
        <v>1000</v>
      </c>
    </row>
    <row r="81" spans="1:3" x14ac:dyDescent="0.25">
      <c r="A81" s="70" t="s">
        <v>270</v>
      </c>
      <c r="B81" s="67">
        <f>(((B77)+(B78))+(B79))+(B80)</f>
        <v>880.34</v>
      </c>
      <c r="C81" s="67">
        <f>(((C77)+(C78))+(C79))+(C80)</f>
        <v>5000</v>
      </c>
    </row>
    <row r="82" spans="1:3" x14ac:dyDescent="0.25">
      <c r="A82" s="70" t="s">
        <v>271</v>
      </c>
      <c r="B82" s="67">
        <f>(((((B69)+(B72))+(B73))+(B74))+(B75))+B76+(B81)</f>
        <v>149230.34</v>
      </c>
      <c r="C82" s="67">
        <f>(((((C69)+(C72))+(C73))+(C74))+(C75))+(C81)</f>
        <v>149000</v>
      </c>
    </row>
    <row r="83" spans="1:3" x14ac:dyDescent="0.25">
      <c r="A83" s="70" t="s">
        <v>272</v>
      </c>
      <c r="B83" s="65"/>
      <c r="C83" s="65"/>
    </row>
    <row r="84" spans="1:3" x14ac:dyDescent="0.25">
      <c r="A84" s="70" t="s">
        <v>273</v>
      </c>
      <c r="B84" s="65"/>
      <c r="C84" s="65"/>
    </row>
    <row r="85" spans="1:3" x14ac:dyDescent="0.25">
      <c r="A85" s="70" t="s">
        <v>274</v>
      </c>
      <c r="B85" s="66"/>
      <c r="C85" s="66"/>
    </row>
    <row r="86" spans="1:3" x14ac:dyDescent="0.25">
      <c r="A86" s="70" t="s">
        <v>275</v>
      </c>
      <c r="B86" s="73"/>
      <c r="C86" s="66"/>
    </row>
    <row r="87" spans="1:3" x14ac:dyDescent="0.25">
      <c r="A87" s="70" t="s">
        <v>276</v>
      </c>
      <c r="B87" s="66">
        <f>821.53</f>
        <v>821.53</v>
      </c>
      <c r="C87" s="66">
        <v>1200</v>
      </c>
    </row>
    <row r="88" spans="1:3" x14ac:dyDescent="0.25">
      <c r="A88" s="70" t="s">
        <v>277</v>
      </c>
      <c r="B88" s="66">
        <f>408.95</f>
        <v>408.95</v>
      </c>
      <c r="C88" s="66">
        <v>500</v>
      </c>
    </row>
    <row r="89" spans="1:3" x14ac:dyDescent="0.25">
      <c r="A89" s="70" t="s">
        <v>278</v>
      </c>
      <c r="B89" s="66">
        <f>618</f>
        <v>618</v>
      </c>
      <c r="C89" s="66">
        <v>700</v>
      </c>
    </row>
    <row r="90" spans="1:3" x14ac:dyDescent="0.25">
      <c r="A90" s="70" t="s">
        <v>279</v>
      </c>
      <c r="B90" s="66"/>
      <c r="C90" s="66">
        <v>0</v>
      </c>
    </row>
    <row r="91" spans="1:3" x14ac:dyDescent="0.25">
      <c r="A91" s="70" t="s">
        <v>280</v>
      </c>
      <c r="B91" s="66">
        <f>1176.78</f>
        <v>1176.78</v>
      </c>
      <c r="C91" s="66">
        <f>2000</f>
        <v>2000</v>
      </c>
    </row>
    <row r="92" spans="1:3" x14ac:dyDescent="0.25">
      <c r="A92" s="70" t="s">
        <v>281</v>
      </c>
      <c r="B92" s="66">
        <v>6932.97</v>
      </c>
      <c r="C92" s="66">
        <v>4000</v>
      </c>
    </row>
    <row r="93" spans="1:3" x14ac:dyDescent="0.25">
      <c r="A93" s="70" t="s">
        <v>282</v>
      </c>
      <c r="B93" s="66">
        <v>722.5</v>
      </c>
      <c r="C93" s="66">
        <f>2000</f>
        <v>2000</v>
      </c>
    </row>
    <row r="94" spans="1:3" x14ac:dyDescent="0.25">
      <c r="A94" s="70" t="s">
        <v>283</v>
      </c>
      <c r="B94" s="66"/>
      <c r="C94" s="66">
        <v>615</v>
      </c>
    </row>
    <row r="95" spans="1:3" x14ac:dyDescent="0.25">
      <c r="A95" s="70" t="s">
        <v>284</v>
      </c>
      <c r="B95" s="66">
        <f>6099.79</f>
        <v>6099.79</v>
      </c>
      <c r="C95" s="66">
        <v>1000</v>
      </c>
    </row>
    <row r="96" spans="1:3" x14ac:dyDescent="0.25">
      <c r="A96" s="70" t="s">
        <v>285</v>
      </c>
      <c r="B96" s="66">
        <v>2116</v>
      </c>
      <c r="C96" s="66">
        <v>2748</v>
      </c>
    </row>
    <row r="97" spans="1:3" x14ac:dyDescent="0.25">
      <c r="A97" s="70" t="s">
        <v>286</v>
      </c>
      <c r="B97" s="66">
        <v>60</v>
      </c>
      <c r="C97" s="66">
        <v>3000</v>
      </c>
    </row>
    <row r="98" spans="1:3" x14ac:dyDescent="0.25">
      <c r="A98" s="70" t="s">
        <v>287</v>
      </c>
      <c r="B98" s="66">
        <v>2100</v>
      </c>
      <c r="C98" s="66">
        <v>2100</v>
      </c>
    </row>
    <row r="99" spans="1:3" x14ac:dyDescent="0.25">
      <c r="A99" s="70" t="s">
        <v>288</v>
      </c>
      <c r="B99" s="66">
        <v>125</v>
      </c>
      <c r="C99" s="66"/>
    </row>
    <row r="100" spans="1:3" x14ac:dyDescent="0.25">
      <c r="A100" s="70" t="s">
        <v>289</v>
      </c>
      <c r="B100" s="66"/>
      <c r="C100" s="66"/>
    </row>
    <row r="101" spans="1:3" x14ac:dyDescent="0.25">
      <c r="A101" s="70" t="s">
        <v>290</v>
      </c>
      <c r="B101" s="67">
        <f>SUM(B85:B100)</f>
        <v>21181.52</v>
      </c>
      <c r="C101" s="67">
        <f>SUM(C85:C100)</f>
        <v>19863</v>
      </c>
    </row>
    <row r="102" spans="1:3" x14ac:dyDescent="0.25">
      <c r="A102" s="70" t="s">
        <v>291</v>
      </c>
      <c r="B102" s="65"/>
      <c r="C102" s="65"/>
    </row>
    <row r="103" spans="1:3" x14ac:dyDescent="0.25">
      <c r="A103" s="70" t="s">
        <v>292</v>
      </c>
      <c r="B103" s="66">
        <f>4320.99</f>
        <v>4320.99</v>
      </c>
      <c r="C103" s="66">
        <v>4000</v>
      </c>
    </row>
    <row r="104" spans="1:3" x14ac:dyDescent="0.25">
      <c r="A104" s="70" t="s">
        <v>293</v>
      </c>
      <c r="B104" s="66">
        <f>16182.7</f>
        <v>16182.7</v>
      </c>
      <c r="C104" s="66">
        <v>16182.7</v>
      </c>
    </row>
    <row r="105" spans="1:3" x14ac:dyDescent="0.25">
      <c r="A105" s="70" t="s">
        <v>294</v>
      </c>
      <c r="B105" s="66"/>
      <c r="C105" s="66">
        <v>35444.06</v>
      </c>
    </row>
    <row r="106" spans="1:3" x14ac:dyDescent="0.25">
      <c r="A106" s="70" t="s">
        <v>295</v>
      </c>
      <c r="B106" s="66">
        <v>750</v>
      </c>
      <c r="C106" s="66">
        <f>2000</f>
        <v>2000</v>
      </c>
    </row>
    <row r="107" spans="1:3" x14ac:dyDescent="0.25">
      <c r="A107" s="70" t="s">
        <v>296</v>
      </c>
      <c r="B107" s="66">
        <v>25.9</v>
      </c>
      <c r="C107" s="66">
        <v>0</v>
      </c>
    </row>
    <row r="108" spans="1:3" x14ac:dyDescent="0.25">
      <c r="A108" s="70" t="s">
        <v>297</v>
      </c>
      <c r="B108" s="66"/>
      <c r="C108" s="66">
        <v>500</v>
      </c>
    </row>
    <row r="109" spans="1:3" x14ac:dyDescent="0.25">
      <c r="A109" s="70" t="s">
        <v>298</v>
      </c>
      <c r="B109" s="66">
        <v>0</v>
      </c>
      <c r="C109" s="66">
        <v>0</v>
      </c>
    </row>
    <row r="110" spans="1:3" x14ac:dyDescent="0.25">
      <c r="A110" s="70" t="s">
        <v>299</v>
      </c>
      <c r="B110" s="66"/>
      <c r="C110" s="66"/>
    </row>
    <row r="111" spans="1:3" x14ac:dyDescent="0.25">
      <c r="A111" s="70" t="s">
        <v>300</v>
      </c>
      <c r="B111" s="65"/>
      <c r="C111" s="65"/>
    </row>
    <row r="112" spans="1:3" x14ac:dyDescent="0.25">
      <c r="A112" s="70" t="s">
        <v>301</v>
      </c>
      <c r="B112" s="66">
        <f>3676.79</f>
        <v>3676.79</v>
      </c>
      <c r="C112" s="66">
        <v>1200</v>
      </c>
    </row>
    <row r="113" spans="1:3" x14ac:dyDescent="0.25">
      <c r="A113" s="70" t="s">
        <v>302</v>
      </c>
      <c r="B113" s="66">
        <f>3915</f>
        <v>3915</v>
      </c>
      <c r="C113" s="66"/>
    </row>
    <row r="114" spans="1:3" x14ac:dyDescent="0.25">
      <c r="A114" s="70" t="s">
        <v>303</v>
      </c>
      <c r="B114" s="66">
        <f>30</f>
        <v>30</v>
      </c>
      <c r="C114" s="66">
        <f>5000</f>
        <v>5000</v>
      </c>
    </row>
    <row r="115" spans="1:3" x14ac:dyDescent="0.25">
      <c r="A115" s="70" t="s">
        <v>304</v>
      </c>
      <c r="B115" s="67">
        <f>SUM(B112:B114)</f>
        <v>7621.79</v>
      </c>
      <c r="C115" s="67">
        <f>((C111)+(C112))+(C114)</f>
        <v>6200</v>
      </c>
    </row>
    <row r="116" spans="1:3" x14ac:dyDescent="0.25">
      <c r="A116" s="70"/>
      <c r="B116" s="66"/>
      <c r="C116" s="66"/>
    </row>
    <row r="117" spans="1:3" x14ac:dyDescent="0.25">
      <c r="A117" s="70" t="s">
        <v>305</v>
      </c>
      <c r="B117" s="65"/>
      <c r="C117" s="65"/>
    </row>
    <row r="118" spans="1:3" x14ac:dyDescent="0.25">
      <c r="A118" s="70" t="s">
        <v>306</v>
      </c>
      <c r="B118" s="66">
        <v>8200</v>
      </c>
      <c r="C118" s="66">
        <v>8000</v>
      </c>
    </row>
    <row r="119" spans="1:3" x14ac:dyDescent="0.25">
      <c r="A119" s="70" t="s">
        <v>307</v>
      </c>
      <c r="B119" s="67">
        <f>(B117)+(B118)</f>
        <v>8200</v>
      </c>
      <c r="C119" s="67">
        <f>(C117)+(C118)</f>
        <v>8000</v>
      </c>
    </row>
    <row r="120" spans="1:3" x14ac:dyDescent="0.25">
      <c r="A120" s="70" t="s">
        <v>308</v>
      </c>
      <c r="B120" s="67">
        <f>B103+B104+B105+B106+B107+B108+B109+B110+B115+B118</f>
        <v>37101.380000000005</v>
      </c>
      <c r="C120" s="67">
        <f>C103+C104+C105+C106+C107+C108+C109+C110+C115+C118</f>
        <v>72326.759999999995</v>
      </c>
    </row>
    <row r="121" spans="1:3" x14ac:dyDescent="0.25">
      <c r="A121" s="70" t="s">
        <v>309</v>
      </c>
      <c r="B121" s="67">
        <f>((B83)+(B101))+(B120)</f>
        <v>58282.900000000009</v>
      </c>
      <c r="C121" s="67">
        <f>((C83)+(C101))+(C120)</f>
        <v>92189.759999999995</v>
      </c>
    </row>
    <row r="122" spans="1:3" x14ac:dyDescent="0.25">
      <c r="A122" s="70" t="s">
        <v>310</v>
      </c>
      <c r="B122" s="67">
        <f>(((B32)+(B68))+(B82))+(B121)</f>
        <v>319964.92</v>
      </c>
      <c r="C122" s="67">
        <f>(((C32)+(C68))+(C82))+(C121)</f>
        <v>357461.25</v>
      </c>
    </row>
    <row r="123" spans="1:3" x14ac:dyDescent="0.25">
      <c r="A123" s="70" t="s">
        <v>311</v>
      </c>
      <c r="B123" s="74">
        <f>B122</f>
        <v>319964.92</v>
      </c>
      <c r="C123" s="67">
        <f>C122</f>
        <v>357461.25</v>
      </c>
    </row>
    <row r="124" spans="1:3" x14ac:dyDescent="0.25">
      <c r="A124" s="70" t="s">
        <v>312</v>
      </c>
      <c r="B124" s="67">
        <f>B30-B123</f>
        <v>27606.690000000061</v>
      </c>
      <c r="C124" s="67">
        <f>(C30)-(C123)</f>
        <v>-10011.25</v>
      </c>
    </row>
    <row r="125" spans="1:3" x14ac:dyDescent="0.25">
      <c r="A125" s="70" t="s">
        <v>313</v>
      </c>
      <c r="B125" s="67">
        <f>(B124)+(0)</f>
        <v>27606.690000000061</v>
      </c>
      <c r="C125" s="67">
        <f>(C124)+(0)</f>
        <v>-10011.25</v>
      </c>
    </row>
    <row r="126" spans="1:3" x14ac:dyDescent="0.25">
      <c r="A126" s="64"/>
      <c r="B126" s="64"/>
      <c r="C126" s="65"/>
    </row>
    <row r="129" spans="1:2" x14ac:dyDescent="0.25">
      <c r="A129" t="s">
        <v>314</v>
      </c>
      <c r="B129" s="75">
        <f>'[2]Camp YTD Budget'!C169</f>
        <v>-53970.369999999893</v>
      </c>
    </row>
    <row r="130" spans="1:2" x14ac:dyDescent="0.25">
      <c r="B130" s="75"/>
    </row>
    <row r="131" spans="1:2" x14ac:dyDescent="0.25">
      <c r="A131" t="s">
        <v>315</v>
      </c>
      <c r="B131" s="75">
        <f>'[2]Camp YTD Budget'!B172</f>
        <v>-7910.56</v>
      </c>
    </row>
    <row r="132" spans="1:2" x14ac:dyDescent="0.25">
      <c r="A132" t="s">
        <v>316</v>
      </c>
      <c r="B132" s="75">
        <f>'[2]Camp YTD Budget'!B174</f>
        <v>0</v>
      </c>
    </row>
    <row r="133" spans="1:2" x14ac:dyDescent="0.25">
      <c r="A133" t="s">
        <v>317</v>
      </c>
      <c r="B133" s="75">
        <f>'[2]Camp YTD Budget'!B175</f>
        <v>556.04</v>
      </c>
    </row>
    <row r="134" spans="1:2" x14ac:dyDescent="0.25">
      <c r="A134" t="s">
        <v>318</v>
      </c>
      <c r="B134" s="75">
        <f>'[2]Camp YTD Budget'!B176</f>
        <v>-160833.41</v>
      </c>
    </row>
    <row r="135" spans="1:2" x14ac:dyDescent="0.25">
      <c r="B135" s="75"/>
    </row>
    <row r="136" spans="1:2" ht="15.75" thickBot="1" x14ac:dyDescent="0.3">
      <c r="A136" s="76" t="s">
        <v>319</v>
      </c>
      <c r="B136" s="77">
        <f>SUM(B125:B134)</f>
        <v>-194551.60999999984</v>
      </c>
    </row>
    <row r="137" spans="1:2" ht="15.75" thickTop="1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8CF82-62B6-4B0B-8F26-B16BD835805E}">
  <dimension ref="A1:C182"/>
  <sheetViews>
    <sheetView topLeftCell="A65" workbookViewId="0">
      <selection activeCell="A83" sqref="A83:A169"/>
    </sheetView>
  </sheetViews>
  <sheetFormatPr defaultRowHeight="15" x14ac:dyDescent="0.25"/>
  <cols>
    <col min="1" max="1" width="40.140625" bestFit="1" customWidth="1"/>
    <col min="2" max="2" width="10.85546875" bestFit="1" customWidth="1"/>
    <col min="3" max="3" width="10.42578125" bestFit="1" customWidth="1"/>
  </cols>
  <sheetData>
    <row r="1" spans="1:3" ht="18" x14ac:dyDescent="0.25">
      <c r="A1" s="56" t="s">
        <v>47</v>
      </c>
      <c r="B1" s="56"/>
      <c r="C1" s="57"/>
    </row>
    <row r="2" spans="1:3" ht="18" x14ac:dyDescent="0.25">
      <c r="A2" s="56" t="s">
        <v>320</v>
      </c>
      <c r="B2" s="56"/>
      <c r="C2" s="57"/>
    </row>
    <row r="3" spans="1:3" x14ac:dyDescent="0.25">
      <c r="A3" s="71" t="s">
        <v>1</v>
      </c>
      <c r="B3" s="71"/>
      <c r="C3" s="71"/>
    </row>
    <row r="5" spans="1:3" x14ac:dyDescent="0.25">
      <c r="A5" s="59"/>
      <c r="B5" s="63" t="s">
        <v>50</v>
      </c>
      <c r="C5" s="63" t="s">
        <v>50</v>
      </c>
    </row>
    <row r="6" spans="1:3" x14ac:dyDescent="0.25">
      <c r="A6" s="64" t="s">
        <v>201</v>
      </c>
      <c r="B6" s="65"/>
      <c r="C6" s="65"/>
    </row>
    <row r="7" spans="1:3" x14ac:dyDescent="0.25">
      <c r="A7" s="70" t="s">
        <v>321</v>
      </c>
      <c r="B7" s="65"/>
      <c r="C7" s="65"/>
    </row>
    <row r="8" spans="1:3" x14ac:dyDescent="0.25">
      <c r="A8" s="70" t="s">
        <v>322</v>
      </c>
      <c r="B8" s="65"/>
      <c r="C8" s="65"/>
    </row>
    <row r="9" spans="1:3" x14ac:dyDescent="0.25">
      <c r="A9" s="70" t="s">
        <v>323</v>
      </c>
      <c r="B9" s="66">
        <v>108399.49</v>
      </c>
      <c r="C9" s="66">
        <v>120000</v>
      </c>
    </row>
    <row r="10" spans="1:3" x14ac:dyDescent="0.25">
      <c r="A10" s="70" t="s">
        <v>324</v>
      </c>
      <c r="B10" s="66">
        <v>21489</v>
      </c>
      <c r="C10" s="66">
        <v>22000</v>
      </c>
    </row>
    <row r="11" spans="1:3" x14ac:dyDescent="0.25">
      <c r="A11" s="70" t="s">
        <v>325</v>
      </c>
      <c r="B11" s="66">
        <v>14251.5</v>
      </c>
      <c r="C11" s="66">
        <v>20000</v>
      </c>
    </row>
    <row r="12" spans="1:3" x14ac:dyDescent="0.25">
      <c r="A12" s="70" t="s">
        <v>326</v>
      </c>
      <c r="B12" s="66">
        <v>7114.89</v>
      </c>
      <c r="C12" s="66">
        <v>5000</v>
      </c>
    </row>
    <row r="13" spans="1:3" x14ac:dyDescent="0.25">
      <c r="A13" s="78"/>
      <c r="B13" s="66"/>
      <c r="C13" s="66"/>
    </row>
    <row r="14" spans="1:3" x14ac:dyDescent="0.25">
      <c r="A14" s="70" t="s">
        <v>327</v>
      </c>
      <c r="B14" s="67">
        <f>SUM(B9:B13)</f>
        <v>151254.88</v>
      </c>
      <c r="C14" s="67">
        <f>SUM(C9:C13)</f>
        <v>167000</v>
      </c>
    </row>
    <row r="15" spans="1:3" x14ac:dyDescent="0.25">
      <c r="A15" s="70" t="s">
        <v>328</v>
      </c>
      <c r="B15" s="65"/>
      <c r="C15" s="65"/>
    </row>
    <row r="16" spans="1:3" x14ac:dyDescent="0.25">
      <c r="A16" s="70" t="s">
        <v>329</v>
      </c>
      <c r="B16" s="65"/>
      <c r="C16" s="65"/>
    </row>
    <row r="17" spans="1:3" x14ac:dyDescent="0.25">
      <c r="A17" s="70" t="s">
        <v>330</v>
      </c>
      <c r="B17" s="66">
        <v>20369.400000000001</v>
      </c>
      <c r="C17" s="66">
        <v>18000</v>
      </c>
    </row>
    <row r="18" spans="1:3" x14ac:dyDescent="0.25">
      <c r="A18" s="70" t="s">
        <v>331</v>
      </c>
      <c r="B18" s="66">
        <v>7572.87</v>
      </c>
      <c r="C18" s="66">
        <v>5000</v>
      </c>
    </row>
    <row r="19" spans="1:3" x14ac:dyDescent="0.25">
      <c r="A19" s="70" t="s">
        <v>332</v>
      </c>
      <c r="B19" s="66">
        <v>17500</v>
      </c>
      <c r="C19" s="66">
        <v>17500</v>
      </c>
    </row>
    <row r="20" spans="1:3" x14ac:dyDescent="0.25">
      <c r="A20" s="70" t="s">
        <v>333</v>
      </c>
      <c r="B20" s="66">
        <v>4723</v>
      </c>
      <c r="C20" s="66">
        <v>5000</v>
      </c>
    </row>
    <row r="21" spans="1:3" x14ac:dyDescent="0.25">
      <c r="A21" s="70" t="s">
        <v>334</v>
      </c>
      <c r="B21" s="66"/>
      <c r="C21" s="66">
        <v>1000</v>
      </c>
    </row>
    <row r="22" spans="1:3" x14ac:dyDescent="0.25">
      <c r="A22" s="70" t="s">
        <v>335</v>
      </c>
      <c r="B22" s="66">
        <v>90000</v>
      </c>
      <c r="C22" s="66">
        <v>90000</v>
      </c>
    </row>
    <row r="23" spans="1:3" x14ac:dyDescent="0.25">
      <c r="A23" s="70" t="s">
        <v>336</v>
      </c>
      <c r="B23" s="66">
        <v>800</v>
      </c>
      <c r="C23" s="66">
        <v>5000</v>
      </c>
    </row>
    <row r="24" spans="1:3" x14ac:dyDescent="0.25">
      <c r="A24" s="70" t="s">
        <v>337</v>
      </c>
      <c r="B24" s="67">
        <f>SUM(B16:B23)</f>
        <v>140965.27000000002</v>
      </c>
      <c r="C24" s="67">
        <f>SUM(C17:C23)</f>
        <v>141500</v>
      </c>
    </row>
    <row r="25" spans="1:3" x14ac:dyDescent="0.25">
      <c r="A25" s="70" t="s">
        <v>338</v>
      </c>
      <c r="B25" s="66">
        <v>3626.29</v>
      </c>
      <c r="C25" s="66">
        <v>500</v>
      </c>
    </row>
    <row r="26" spans="1:3" x14ac:dyDescent="0.25">
      <c r="A26" s="70" t="s">
        <v>339</v>
      </c>
      <c r="B26" s="66"/>
      <c r="C26" s="66"/>
    </row>
    <row r="27" spans="1:3" x14ac:dyDescent="0.25">
      <c r="A27" s="70" t="s">
        <v>340</v>
      </c>
      <c r="B27" s="79">
        <v>35.67</v>
      </c>
      <c r="C27" s="66">
        <v>88.4</v>
      </c>
    </row>
    <row r="28" spans="1:3" x14ac:dyDescent="0.25">
      <c r="A28" s="64" t="s">
        <v>341</v>
      </c>
      <c r="B28" s="66"/>
      <c r="C28" s="66">
        <f>7500</f>
        <v>7500</v>
      </c>
    </row>
    <row r="29" spans="1:3" x14ac:dyDescent="0.25">
      <c r="A29" s="70" t="s">
        <v>342</v>
      </c>
      <c r="B29" s="66">
        <v>0</v>
      </c>
      <c r="C29" s="66"/>
    </row>
    <row r="30" spans="1:3" x14ac:dyDescent="0.25">
      <c r="A30" s="70" t="s">
        <v>343</v>
      </c>
      <c r="B30" s="66">
        <v>2071.58</v>
      </c>
      <c r="C30" s="66">
        <v>2500</v>
      </c>
    </row>
    <row r="31" spans="1:3" x14ac:dyDescent="0.25">
      <c r="A31" s="70"/>
      <c r="B31" s="66"/>
      <c r="C31" s="66"/>
    </row>
    <row r="32" spans="1:3" x14ac:dyDescent="0.25">
      <c r="A32" s="70" t="s">
        <v>344</v>
      </c>
      <c r="B32" s="67">
        <f>B24+B25+B27+B28+B29+B30</f>
        <v>146698.81000000003</v>
      </c>
      <c r="C32" s="67">
        <f>C24+C25+C27+C28+C30</f>
        <v>152088.4</v>
      </c>
    </row>
    <row r="33" spans="1:3" x14ac:dyDescent="0.25">
      <c r="A33" s="70" t="s">
        <v>345</v>
      </c>
      <c r="B33" s="67">
        <f>((B7)+(B14))+(B32)</f>
        <v>297953.69000000006</v>
      </c>
      <c r="C33" s="67">
        <f>((C7)+(C14))+(C32)</f>
        <v>319088.40000000002</v>
      </c>
    </row>
    <row r="34" spans="1:3" x14ac:dyDescent="0.25">
      <c r="A34" s="70" t="s">
        <v>222</v>
      </c>
      <c r="B34" s="67">
        <f>B33</f>
        <v>297953.69000000006</v>
      </c>
      <c r="C34" s="67">
        <f>C33</f>
        <v>319088.40000000002</v>
      </c>
    </row>
    <row r="35" spans="1:3" x14ac:dyDescent="0.25">
      <c r="A35" s="70" t="s">
        <v>223</v>
      </c>
      <c r="B35" s="74">
        <f>(B34)-(0)</f>
        <v>297953.69000000006</v>
      </c>
      <c r="C35" s="67">
        <f>(C34)-(0)</f>
        <v>319088.40000000002</v>
      </c>
    </row>
    <row r="36" spans="1:3" x14ac:dyDescent="0.25">
      <c r="A36" s="70" t="s">
        <v>224</v>
      </c>
      <c r="B36" s="65"/>
      <c r="C36" s="65"/>
    </row>
    <row r="37" spans="1:3" x14ac:dyDescent="0.25">
      <c r="A37" s="70" t="s">
        <v>346</v>
      </c>
      <c r="B37" s="65"/>
      <c r="C37" s="65"/>
    </row>
    <row r="38" spans="1:3" x14ac:dyDescent="0.25">
      <c r="A38" s="70" t="s">
        <v>347</v>
      </c>
      <c r="B38" s="65"/>
      <c r="C38" s="65"/>
    </row>
    <row r="39" spans="1:3" x14ac:dyDescent="0.25">
      <c r="A39" s="70" t="s">
        <v>348</v>
      </c>
      <c r="B39" s="66">
        <f>10245</f>
        <v>10245</v>
      </c>
      <c r="C39" s="66">
        <v>5600</v>
      </c>
    </row>
    <row r="40" spans="1:3" x14ac:dyDescent="0.25">
      <c r="A40" s="70" t="s">
        <v>349</v>
      </c>
      <c r="B40" s="66"/>
      <c r="C40" s="66">
        <v>4725</v>
      </c>
    </row>
    <row r="41" spans="1:3" x14ac:dyDescent="0.25">
      <c r="A41" s="70" t="s">
        <v>350</v>
      </c>
      <c r="B41" s="66">
        <v>1260</v>
      </c>
      <c r="C41" s="66">
        <v>1500</v>
      </c>
    </row>
    <row r="42" spans="1:3" x14ac:dyDescent="0.25">
      <c r="A42" s="70" t="s">
        <v>351</v>
      </c>
      <c r="B42" s="66">
        <v>11650</v>
      </c>
      <c r="C42" s="66">
        <v>7500</v>
      </c>
    </row>
    <row r="43" spans="1:3" x14ac:dyDescent="0.25">
      <c r="A43" s="70" t="s">
        <v>352</v>
      </c>
      <c r="B43" s="66">
        <v>3625</v>
      </c>
      <c r="C43" s="66">
        <v>4200</v>
      </c>
    </row>
    <row r="44" spans="1:3" x14ac:dyDescent="0.25">
      <c r="A44" s="70" t="s">
        <v>353</v>
      </c>
      <c r="B44" s="66">
        <f>2800.02</f>
        <v>2800.02</v>
      </c>
      <c r="C44" s="66"/>
    </row>
    <row r="45" spans="1:3" x14ac:dyDescent="0.25">
      <c r="A45" s="70" t="s">
        <v>354</v>
      </c>
      <c r="B45" s="66">
        <f>2449.98</f>
        <v>2449.98</v>
      </c>
      <c r="C45" s="66">
        <v>5250</v>
      </c>
    </row>
    <row r="46" spans="1:3" x14ac:dyDescent="0.25">
      <c r="A46" s="70" t="s">
        <v>355</v>
      </c>
      <c r="B46" s="66">
        <v>2313.3000000000002</v>
      </c>
      <c r="C46" s="66">
        <v>2000</v>
      </c>
    </row>
    <row r="47" spans="1:3" x14ac:dyDescent="0.25">
      <c r="A47" s="70" t="s">
        <v>356</v>
      </c>
      <c r="B47" s="66">
        <v>3825</v>
      </c>
      <c r="C47" s="66">
        <v>3675</v>
      </c>
    </row>
    <row r="48" spans="1:3" x14ac:dyDescent="0.25">
      <c r="A48" s="84" t="s">
        <v>357</v>
      </c>
      <c r="B48" s="66">
        <v>3150</v>
      </c>
      <c r="C48" s="66">
        <v>3675</v>
      </c>
    </row>
    <row r="49" spans="1:3" x14ac:dyDescent="0.25">
      <c r="A49" s="70" t="s">
        <v>358</v>
      </c>
      <c r="B49" s="66">
        <v>4175.01</v>
      </c>
      <c r="C49" s="66">
        <v>3675</v>
      </c>
    </row>
    <row r="50" spans="1:3" x14ac:dyDescent="0.25">
      <c r="A50" s="70" t="s">
        <v>359</v>
      </c>
      <c r="B50" s="66">
        <v>875</v>
      </c>
      <c r="C50" s="66">
        <v>1800</v>
      </c>
    </row>
    <row r="51" spans="1:3" x14ac:dyDescent="0.25">
      <c r="A51" s="70" t="s">
        <v>360</v>
      </c>
      <c r="B51" s="66"/>
      <c r="C51" s="66">
        <v>1280</v>
      </c>
    </row>
    <row r="52" spans="1:3" x14ac:dyDescent="0.25">
      <c r="A52" s="70" t="s">
        <v>361</v>
      </c>
      <c r="B52" s="66">
        <v>3150</v>
      </c>
      <c r="C52" s="66"/>
    </row>
    <row r="53" spans="1:3" x14ac:dyDescent="0.25">
      <c r="A53" s="70" t="s">
        <v>362</v>
      </c>
      <c r="B53" s="66">
        <v>1200</v>
      </c>
      <c r="C53" s="66"/>
    </row>
    <row r="54" spans="1:3" x14ac:dyDescent="0.25">
      <c r="A54" s="70" t="s">
        <v>363</v>
      </c>
      <c r="B54" s="66">
        <v>14460.8</v>
      </c>
      <c r="C54" s="66">
        <v>12000</v>
      </c>
    </row>
    <row r="55" spans="1:3" x14ac:dyDescent="0.25">
      <c r="A55" s="70" t="s">
        <v>364</v>
      </c>
      <c r="B55" s="66">
        <v>28630.04</v>
      </c>
      <c r="C55" s="66">
        <v>31000</v>
      </c>
    </row>
    <row r="56" spans="1:3" x14ac:dyDescent="0.25">
      <c r="A56" s="70" t="s">
        <v>365</v>
      </c>
      <c r="B56" s="74">
        <f>SUM(B37:B55)</f>
        <v>93809.15</v>
      </c>
      <c r="C56" s="67">
        <f>SUM(C39:C55)</f>
        <v>87880</v>
      </c>
    </row>
    <row r="57" spans="1:3" x14ac:dyDescent="0.25">
      <c r="A57" s="70" t="s">
        <v>366</v>
      </c>
      <c r="B57" s="65"/>
      <c r="C57" s="65"/>
    </row>
    <row r="58" spans="1:3" x14ac:dyDescent="0.25">
      <c r="A58" s="70"/>
      <c r="B58" s="66"/>
      <c r="C58" s="66"/>
    </row>
    <row r="59" spans="1:3" x14ac:dyDescent="0.25">
      <c r="A59" s="70" t="s">
        <v>367</v>
      </c>
      <c r="B59" s="65"/>
      <c r="C59" s="65"/>
    </row>
    <row r="60" spans="1:3" x14ac:dyDescent="0.25">
      <c r="A60" s="70" t="s">
        <v>368</v>
      </c>
      <c r="B60" s="66">
        <v>71999.98</v>
      </c>
      <c r="C60" s="66">
        <v>72000</v>
      </c>
    </row>
    <row r="61" spans="1:3" x14ac:dyDescent="0.25">
      <c r="A61" s="70" t="s">
        <v>369</v>
      </c>
      <c r="B61" s="66">
        <v>13785.52</v>
      </c>
      <c r="C61" s="66">
        <v>15500</v>
      </c>
    </row>
    <row r="62" spans="1:3" x14ac:dyDescent="0.25">
      <c r="A62" s="70" t="s">
        <v>370</v>
      </c>
      <c r="B62" s="74">
        <f>((B59)+(B60))+(B61)</f>
        <v>85785.5</v>
      </c>
      <c r="C62" s="67">
        <f>((C59)+(C60))+(C61)</f>
        <v>87500</v>
      </c>
    </row>
    <row r="63" spans="1:3" x14ac:dyDescent="0.25">
      <c r="A63" s="70" t="s">
        <v>371</v>
      </c>
      <c r="B63" s="65"/>
      <c r="C63" s="65"/>
    </row>
    <row r="64" spans="1:3" x14ac:dyDescent="0.25">
      <c r="A64" s="70" t="s">
        <v>372</v>
      </c>
      <c r="B64" s="66">
        <v>28087.439999999999</v>
      </c>
      <c r="C64" s="66">
        <v>30000</v>
      </c>
    </row>
    <row r="65" spans="1:3" x14ac:dyDescent="0.25">
      <c r="A65" s="70" t="s">
        <v>373</v>
      </c>
      <c r="B65" s="67">
        <f>(B63)+(B64)</f>
        <v>28087.439999999999</v>
      </c>
      <c r="C65" s="67">
        <f>(C63)+(C64)</f>
        <v>30000</v>
      </c>
    </row>
    <row r="66" spans="1:3" x14ac:dyDescent="0.25">
      <c r="A66" s="70" t="s">
        <v>374</v>
      </c>
      <c r="B66" s="65"/>
      <c r="C66" s="65"/>
    </row>
    <row r="67" spans="1:3" x14ac:dyDescent="0.25">
      <c r="A67" s="70" t="s">
        <v>375</v>
      </c>
      <c r="B67" s="66">
        <v>9062.7199999999993</v>
      </c>
      <c r="C67" s="66">
        <v>10500</v>
      </c>
    </row>
    <row r="68" spans="1:3" x14ac:dyDescent="0.25">
      <c r="A68" s="70" t="s">
        <v>376</v>
      </c>
      <c r="B68" s="65"/>
      <c r="C68" s="65"/>
    </row>
    <row r="69" spans="1:3" x14ac:dyDescent="0.25">
      <c r="A69" s="70" t="s">
        <v>377</v>
      </c>
      <c r="B69" s="66">
        <v>325.05</v>
      </c>
      <c r="C69" s="66">
        <v>0</v>
      </c>
    </row>
    <row r="70" spans="1:3" x14ac:dyDescent="0.25">
      <c r="A70" s="70"/>
      <c r="B70" s="66"/>
      <c r="C70" s="66"/>
    </row>
    <row r="71" spans="1:3" x14ac:dyDescent="0.25">
      <c r="A71" s="70"/>
      <c r="B71" s="67"/>
      <c r="C71" s="67"/>
    </row>
    <row r="72" spans="1:3" x14ac:dyDescent="0.25">
      <c r="A72" s="70" t="s">
        <v>378</v>
      </c>
      <c r="B72" s="67">
        <f>B62+B65+B67+B69</f>
        <v>123260.71</v>
      </c>
      <c r="C72" s="67">
        <f>C62+C65+C67+C69</f>
        <v>128000</v>
      </c>
    </row>
    <row r="73" spans="1:3" x14ac:dyDescent="0.25">
      <c r="A73" s="70" t="s">
        <v>379</v>
      </c>
      <c r="B73" s="65"/>
      <c r="C73" s="65"/>
    </row>
    <row r="74" spans="1:3" x14ac:dyDescent="0.25">
      <c r="A74" s="70" t="s">
        <v>380</v>
      </c>
      <c r="B74" s="66">
        <f>5095.13</f>
        <v>5095.13</v>
      </c>
      <c r="C74" s="66">
        <v>4200</v>
      </c>
    </row>
    <row r="75" spans="1:3" x14ac:dyDescent="0.25">
      <c r="A75" s="70" t="s">
        <v>381</v>
      </c>
      <c r="B75" s="66">
        <f>18508.77</f>
        <v>18508.77</v>
      </c>
      <c r="C75" s="66">
        <v>16408.400000000001</v>
      </c>
    </row>
    <row r="76" spans="1:3" x14ac:dyDescent="0.25">
      <c r="A76" s="70" t="s">
        <v>382</v>
      </c>
      <c r="B76" s="66">
        <f>600</f>
        <v>600</v>
      </c>
      <c r="C76" s="66">
        <v>6000</v>
      </c>
    </row>
    <row r="77" spans="1:3" x14ac:dyDescent="0.25">
      <c r="A77" s="70" t="s">
        <v>383</v>
      </c>
      <c r="B77" s="66">
        <f>2386.8</f>
        <v>2386.8000000000002</v>
      </c>
      <c r="C77" s="66">
        <v>0</v>
      </c>
    </row>
    <row r="78" spans="1:3" x14ac:dyDescent="0.25">
      <c r="A78" s="70" t="s">
        <v>384</v>
      </c>
      <c r="B78" s="66">
        <f>487.37</f>
        <v>487.37</v>
      </c>
      <c r="C78" s="66">
        <v>500</v>
      </c>
    </row>
    <row r="79" spans="1:3" x14ac:dyDescent="0.25">
      <c r="A79" s="70" t="s">
        <v>385</v>
      </c>
      <c r="B79" s="66">
        <f>1152.43</f>
        <v>1152.43</v>
      </c>
      <c r="C79" s="66">
        <f>1000</f>
        <v>1000</v>
      </c>
    </row>
    <row r="80" spans="1:3" x14ac:dyDescent="0.25">
      <c r="A80" s="70" t="s">
        <v>386</v>
      </c>
      <c r="B80" s="74">
        <f>SUM(B74:B79)</f>
        <v>28230.5</v>
      </c>
      <c r="C80" s="67">
        <f>(((((C73)+(C74))+(C75))+(C76))+(C78))+(C79)</f>
        <v>28108.400000000001</v>
      </c>
    </row>
    <row r="81" spans="1:3" x14ac:dyDescent="0.25">
      <c r="A81" s="70" t="s">
        <v>387</v>
      </c>
      <c r="B81" s="65"/>
      <c r="C81" s="65"/>
    </row>
    <row r="82" spans="1:3" x14ac:dyDescent="0.25">
      <c r="A82" s="64" t="s">
        <v>388</v>
      </c>
      <c r="B82" s="66">
        <v>2187.0300000000002</v>
      </c>
      <c r="C82" s="66">
        <v>3000</v>
      </c>
    </row>
    <row r="83" spans="1:3" x14ac:dyDescent="0.25">
      <c r="A83" s="70" t="s">
        <v>389</v>
      </c>
      <c r="B83" s="66"/>
      <c r="C83" s="66"/>
    </row>
    <row r="84" spans="1:3" x14ac:dyDescent="0.25">
      <c r="A84" s="70" t="s">
        <v>390</v>
      </c>
      <c r="B84" s="66">
        <f>4586.87</f>
        <v>4586.87</v>
      </c>
      <c r="C84" s="66">
        <v>4500</v>
      </c>
    </row>
    <row r="85" spans="1:3" x14ac:dyDescent="0.25">
      <c r="A85" s="70" t="s">
        <v>391</v>
      </c>
      <c r="B85" s="66">
        <f>2121.35</f>
        <v>2121.35</v>
      </c>
      <c r="C85" s="66">
        <v>1750</v>
      </c>
    </row>
    <row r="86" spans="1:3" x14ac:dyDescent="0.25">
      <c r="A86" s="70" t="s">
        <v>392</v>
      </c>
      <c r="B86" s="66">
        <f>151.29</f>
        <v>151.29</v>
      </c>
      <c r="C86" s="66">
        <v>250</v>
      </c>
    </row>
    <row r="87" spans="1:3" x14ac:dyDescent="0.25">
      <c r="A87" s="70" t="s">
        <v>393</v>
      </c>
      <c r="B87" s="66">
        <f>1527.71</f>
        <v>1527.71</v>
      </c>
      <c r="C87" s="66">
        <v>1500</v>
      </c>
    </row>
    <row r="88" spans="1:3" x14ac:dyDescent="0.25">
      <c r="A88" s="70" t="s">
        <v>394</v>
      </c>
      <c r="B88" s="65"/>
      <c r="C88" s="65"/>
    </row>
    <row r="89" spans="1:3" x14ac:dyDescent="0.25">
      <c r="A89" s="70" t="s">
        <v>395</v>
      </c>
      <c r="B89" s="66">
        <f>865.7</f>
        <v>865.7</v>
      </c>
      <c r="C89" s="66">
        <v>1000</v>
      </c>
    </row>
    <row r="90" spans="1:3" x14ac:dyDescent="0.25">
      <c r="A90" s="70" t="s">
        <v>396</v>
      </c>
      <c r="B90" s="66">
        <f>1457</f>
        <v>1457</v>
      </c>
      <c r="C90" s="66">
        <f>750</f>
        <v>750</v>
      </c>
    </row>
    <row r="91" spans="1:3" x14ac:dyDescent="0.25">
      <c r="A91" s="70" t="s">
        <v>397</v>
      </c>
      <c r="B91" s="66">
        <f>399.92</f>
        <v>399.92</v>
      </c>
      <c r="C91" s="66">
        <v>250</v>
      </c>
    </row>
    <row r="92" spans="1:3" x14ac:dyDescent="0.25">
      <c r="A92" s="70" t="s">
        <v>398</v>
      </c>
      <c r="B92" s="74">
        <f>(((B88)+(B89))+(B90))+(B91)</f>
        <v>2722.62</v>
      </c>
      <c r="C92" s="67">
        <f>(((C88)+(C89))+(C90))+(C91)</f>
        <v>2000</v>
      </c>
    </row>
    <row r="93" spans="1:3" x14ac:dyDescent="0.25">
      <c r="A93" s="70" t="s">
        <v>399</v>
      </c>
      <c r="B93" s="66"/>
      <c r="C93" s="66">
        <v>50</v>
      </c>
    </row>
    <row r="94" spans="1:3" x14ac:dyDescent="0.25">
      <c r="A94" s="70" t="s">
        <v>400</v>
      </c>
      <c r="B94" s="65"/>
      <c r="C94" s="65"/>
    </row>
    <row r="95" spans="1:3" x14ac:dyDescent="0.25">
      <c r="A95" s="70" t="s">
        <v>401</v>
      </c>
      <c r="B95" s="66">
        <f>577.18</f>
        <v>577.17999999999995</v>
      </c>
      <c r="C95" s="66">
        <v>250</v>
      </c>
    </row>
    <row r="96" spans="1:3" x14ac:dyDescent="0.25">
      <c r="A96" s="70" t="s">
        <v>402</v>
      </c>
      <c r="B96" s="66">
        <f>60.84</f>
        <v>60.84</v>
      </c>
      <c r="C96" s="66">
        <f>250</f>
        <v>250</v>
      </c>
    </row>
    <row r="97" spans="1:3" x14ac:dyDescent="0.25">
      <c r="A97" s="70" t="s">
        <v>403</v>
      </c>
      <c r="B97" s="74">
        <f>((B94)+(B95))+(B96)</f>
        <v>638.02</v>
      </c>
      <c r="C97" s="67">
        <f>((C94)+(C95))+(C96)</f>
        <v>500</v>
      </c>
    </row>
    <row r="98" spans="1:3" x14ac:dyDescent="0.25">
      <c r="A98" s="70" t="s">
        <v>404</v>
      </c>
      <c r="B98" s="66">
        <f>1000</f>
        <v>1000</v>
      </c>
      <c r="C98" s="66">
        <v>1250</v>
      </c>
    </row>
    <row r="99" spans="1:3" x14ac:dyDescent="0.25">
      <c r="A99" s="70" t="s">
        <v>405</v>
      </c>
      <c r="B99" s="66">
        <f>1446</f>
        <v>1446</v>
      </c>
      <c r="C99" s="66">
        <v>750</v>
      </c>
    </row>
    <row r="100" spans="1:3" x14ac:dyDescent="0.25">
      <c r="A100" s="70" t="s">
        <v>406</v>
      </c>
      <c r="B100" s="66">
        <f>1780</f>
        <v>1780</v>
      </c>
      <c r="C100" s="66">
        <v>1000</v>
      </c>
    </row>
    <row r="101" spans="1:3" x14ac:dyDescent="0.25">
      <c r="A101" s="70" t="s">
        <v>407</v>
      </c>
      <c r="B101" s="66">
        <f>395</f>
        <v>395</v>
      </c>
      <c r="C101" s="66">
        <v>250</v>
      </c>
    </row>
    <row r="102" spans="1:3" x14ac:dyDescent="0.25">
      <c r="A102" s="70" t="s">
        <v>408</v>
      </c>
      <c r="B102" s="66">
        <f>163.83</f>
        <v>163.83000000000001</v>
      </c>
      <c r="C102" s="66">
        <v>350</v>
      </c>
    </row>
    <row r="103" spans="1:3" x14ac:dyDescent="0.25">
      <c r="A103" s="70" t="s">
        <v>409</v>
      </c>
      <c r="B103" s="66">
        <f>881.92</f>
        <v>881.92</v>
      </c>
      <c r="C103" s="66">
        <f>1000</f>
        <v>1000</v>
      </c>
    </row>
    <row r="104" spans="1:3" x14ac:dyDescent="0.25">
      <c r="A104" s="70" t="s">
        <v>410</v>
      </c>
      <c r="B104" s="66">
        <f>2188.22</f>
        <v>2188.2199999999998</v>
      </c>
      <c r="C104" s="66">
        <v>1500</v>
      </c>
    </row>
    <row r="105" spans="1:3" x14ac:dyDescent="0.25">
      <c r="A105" s="78"/>
    </row>
    <row r="106" spans="1:3" x14ac:dyDescent="0.25">
      <c r="A106" s="70" t="s">
        <v>411</v>
      </c>
      <c r="B106" s="66">
        <v>547.02</v>
      </c>
      <c r="C106" s="66">
        <v>550</v>
      </c>
    </row>
    <row r="107" spans="1:3" x14ac:dyDescent="0.25">
      <c r="A107" s="70" t="s">
        <v>412</v>
      </c>
      <c r="B107" s="65"/>
      <c r="C107" s="65"/>
    </row>
    <row r="108" spans="1:3" x14ac:dyDescent="0.25">
      <c r="A108" s="70" t="s">
        <v>413</v>
      </c>
      <c r="B108" s="66">
        <v>3048.41</v>
      </c>
      <c r="C108" s="66">
        <v>1800</v>
      </c>
    </row>
    <row r="109" spans="1:3" x14ac:dyDescent="0.25">
      <c r="A109" s="70" t="s">
        <v>414</v>
      </c>
      <c r="B109" s="66">
        <v>156.59</v>
      </c>
      <c r="C109" s="66">
        <v>300</v>
      </c>
    </row>
    <row r="110" spans="1:3" x14ac:dyDescent="0.25">
      <c r="A110" s="70" t="s">
        <v>415</v>
      </c>
      <c r="B110" s="67">
        <f>((B107)+(B108))+(B109)</f>
        <v>3205</v>
      </c>
      <c r="C110" s="67">
        <f>((C107)+(C108))+(C109)</f>
        <v>2100</v>
      </c>
    </row>
    <row r="111" spans="1:3" x14ac:dyDescent="0.25">
      <c r="A111" s="70" t="s">
        <v>416</v>
      </c>
      <c r="B111" s="65"/>
      <c r="C111" s="65"/>
    </row>
    <row r="112" spans="1:3" x14ac:dyDescent="0.25">
      <c r="A112" s="70" t="s">
        <v>417</v>
      </c>
      <c r="B112" s="66">
        <v>680.7</v>
      </c>
      <c r="C112" s="66">
        <v>150</v>
      </c>
    </row>
    <row r="113" spans="1:3" x14ac:dyDescent="0.25">
      <c r="A113" s="70" t="s">
        <v>418</v>
      </c>
      <c r="B113" s="66"/>
      <c r="C113" s="66">
        <v>0</v>
      </c>
    </row>
    <row r="114" spans="1:3" x14ac:dyDescent="0.25">
      <c r="A114" s="70" t="s">
        <v>419</v>
      </c>
      <c r="B114" s="74">
        <f>((B111)+(B112))+(B113)</f>
        <v>680.7</v>
      </c>
      <c r="C114" s="67">
        <f>((C111)+(C112))+(C113)</f>
        <v>150</v>
      </c>
    </row>
    <row r="115" spans="1:3" x14ac:dyDescent="0.25">
      <c r="A115" s="70" t="s">
        <v>420</v>
      </c>
      <c r="B115" s="65"/>
      <c r="C115" s="65"/>
    </row>
    <row r="116" spans="1:3" x14ac:dyDescent="0.25">
      <c r="A116" s="70" t="s">
        <v>421</v>
      </c>
      <c r="B116" s="66">
        <v>460.01</v>
      </c>
      <c r="C116" s="66">
        <f>400</f>
        <v>400</v>
      </c>
    </row>
    <row r="117" spans="1:3" x14ac:dyDescent="0.25">
      <c r="A117" s="70" t="s">
        <v>422</v>
      </c>
      <c r="B117" s="74">
        <f>(B115)+(B116)</f>
        <v>460.01</v>
      </c>
      <c r="C117" s="67">
        <f>(C115)+(C116)</f>
        <v>400</v>
      </c>
    </row>
    <row r="118" spans="1:3" x14ac:dyDescent="0.25">
      <c r="A118" s="70" t="s">
        <v>423</v>
      </c>
      <c r="B118" s="65"/>
      <c r="C118" s="65"/>
    </row>
    <row r="119" spans="1:3" x14ac:dyDescent="0.25">
      <c r="A119" s="70" t="s">
        <v>424</v>
      </c>
      <c r="B119" s="66">
        <v>16276.24</v>
      </c>
      <c r="C119" s="66">
        <v>13000</v>
      </c>
    </row>
    <row r="120" spans="1:3" x14ac:dyDescent="0.25">
      <c r="A120" s="70" t="s">
        <v>425</v>
      </c>
      <c r="B120" s="66">
        <v>1699.56</v>
      </c>
      <c r="C120" s="66">
        <v>1250</v>
      </c>
    </row>
    <row r="121" spans="1:3" x14ac:dyDescent="0.25">
      <c r="A121" s="70" t="s">
        <v>426</v>
      </c>
      <c r="B121" s="66">
        <v>1950.55</v>
      </c>
      <c r="C121" s="66">
        <v>750</v>
      </c>
    </row>
    <row r="122" spans="1:3" x14ac:dyDescent="0.25">
      <c r="A122" s="70" t="s">
        <v>427</v>
      </c>
      <c r="B122" s="66">
        <v>522.1</v>
      </c>
      <c r="C122" s="66">
        <v>250</v>
      </c>
    </row>
    <row r="123" spans="1:3" x14ac:dyDescent="0.25">
      <c r="A123" s="70" t="s">
        <v>428</v>
      </c>
      <c r="B123" s="67">
        <f>((((B118)+(B119))+(B120))+(B121))+(B122)</f>
        <v>20448.449999999997</v>
      </c>
      <c r="C123" s="67">
        <f>((((C118)+(C119))+(C120))+(C121))+(C122)</f>
        <v>15250</v>
      </c>
    </row>
    <row r="124" spans="1:3" x14ac:dyDescent="0.25">
      <c r="A124" s="70" t="s">
        <v>429</v>
      </c>
      <c r="B124" s="66">
        <v>406.5</v>
      </c>
      <c r="C124" s="66">
        <v>1000</v>
      </c>
    </row>
    <row r="125" spans="1:3" x14ac:dyDescent="0.25">
      <c r="A125" s="70"/>
      <c r="B125" s="66"/>
      <c r="C125" s="66"/>
    </row>
    <row r="126" spans="1:3" x14ac:dyDescent="0.25">
      <c r="A126" s="70" t="s">
        <v>430</v>
      </c>
      <c r="B126" s="66">
        <v>0</v>
      </c>
      <c r="C126" s="66"/>
    </row>
    <row r="127" spans="1:3" x14ac:dyDescent="0.25">
      <c r="A127" s="70" t="s">
        <v>431</v>
      </c>
      <c r="B127" s="74">
        <f>(((((((((((((((((((((B81)+(B82))+(B84))+(B86))+(B87))+(B92))+(B93))+(B97))+(B98))+(B99))+(B100))+(B101))+(B102))+(B103))+(B104))+B85+(B106))+(B110))+(B114))+(B117))+(B123))+(B124))+(B126)</f>
        <v>47537.539999999994</v>
      </c>
      <c r="C127" s="67">
        <f>(((((((((((((((((((((C81)+(C82))+(C84))+(C86))+(C87))+(C92))+(C93))+(C97))+(C98))+(C99))+(C100))+(C101))+(C102))+(C103))+(C104))+(C106))+(C110))+(C114))+(C117))+(C123))+(C124))+(C126)</f>
        <v>37350</v>
      </c>
    </row>
    <row r="128" spans="1:3" x14ac:dyDescent="0.25">
      <c r="A128" s="70" t="s">
        <v>432</v>
      </c>
      <c r="B128" s="65"/>
      <c r="C128" s="65"/>
    </row>
    <row r="129" spans="1:3" x14ac:dyDescent="0.25">
      <c r="A129" s="70" t="s">
        <v>433</v>
      </c>
      <c r="B129" s="65"/>
      <c r="C129" s="65"/>
    </row>
    <row r="130" spans="1:3" x14ac:dyDescent="0.25">
      <c r="A130" s="70" t="s">
        <v>434</v>
      </c>
      <c r="B130" s="66">
        <f>961.5</f>
        <v>961.5</v>
      </c>
      <c r="C130" s="66">
        <v>1000</v>
      </c>
    </row>
    <row r="131" spans="1:3" x14ac:dyDescent="0.25">
      <c r="A131" s="70" t="s">
        <v>435</v>
      </c>
      <c r="B131" s="66">
        <f>15783.25</f>
        <v>15783.25</v>
      </c>
      <c r="C131" s="66">
        <v>13750</v>
      </c>
    </row>
    <row r="132" spans="1:3" x14ac:dyDescent="0.25">
      <c r="A132" s="70" t="s">
        <v>436</v>
      </c>
      <c r="B132" s="67">
        <f>((B129)+(B130))+(B131)</f>
        <v>16744.75</v>
      </c>
      <c r="C132" s="67">
        <f>((C129)+(C130))+(C131)</f>
        <v>14750</v>
      </c>
    </row>
    <row r="133" spans="1:3" x14ac:dyDescent="0.25">
      <c r="A133" s="70" t="s">
        <v>437</v>
      </c>
      <c r="B133" s="65"/>
      <c r="C133" s="65"/>
    </row>
    <row r="134" spans="1:3" x14ac:dyDescent="0.25">
      <c r="A134" s="70" t="s">
        <v>438</v>
      </c>
      <c r="B134" s="66">
        <v>3246.15</v>
      </c>
      <c r="C134" s="66">
        <v>3250</v>
      </c>
    </row>
    <row r="135" spans="1:3" x14ac:dyDescent="0.25">
      <c r="A135" s="70" t="s">
        <v>439</v>
      </c>
      <c r="B135" s="66">
        <v>2096.67</v>
      </c>
      <c r="C135" s="66">
        <v>750</v>
      </c>
    </row>
    <row r="136" spans="1:3" x14ac:dyDescent="0.25">
      <c r="A136" s="70" t="s">
        <v>440</v>
      </c>
      <c r="B136" s="66">
        <v>2407.41</v>
      </c>
      <c r="C136" s="66">
        <v>1750</v>
      </c>
    </row>
    <row r="137" spans="1:3" x14ac:dyDescent="0.25">
      <c r="A137" s="70" t="s">
        <v>441</v>
      </c>
      <c r="B137" s="67">
        <f>(((B133)+(B134))+(B135))+(B136)</f>
        <v>7750.23</v>
      </c>
      <c r="C137" s="67">
        <f>(((C133)+(C134))+(C135))+(C136)</f>
        <v>5750</v>
      </c>
    </row>
    <row r="138" spans="1:3" x14ac:dyDescent="0.25">
      <c r="A138" s="70" t="s">
        <v>442</v>
      </c>
      <c r="B138" s="65"/>
      <c r="C138" s="65"/>
    </row>
    <row r="139" spans="1:3" x14ac:dyDescent="0.25">
      <c r="A139" s="70" t="s">
        <v>443</v>
      </c>
      <c r="B139" s="66">
        <f>402.5</f>
        <v>402.5</v>
      </c>
      <c r="C139" s="66">
        <v>250</v>
      </c>
    </row>
    <row r="140" spans="1:3" x14ac:dyDescent="0.25">
      <c r="A140" s="70" t="s">
        <v>444</v>
      </c>
      <c r="B140" s="66">
        <f>715.01</f>
        <v>715.01</v>
      </c>
      <c r="C140" s="66">
        <v>500</v>
      </c>
    </row>
    <row r="141" spans="1:3" x14ac:dyDescent="0.25">
      <c r="A141" s="70" t="s">
        <v>445</v>
      </c>
      <c r="B141" s="66">
        <f>1088.13</f>
        <v>1088.1300000000001</v>
      </c>
      <c r="C141" s="66">
        <v>500</v>
      </c>
    </row>
    <row r="142" spans="1:3" x14ac:dyDescent="0.25">
      <c r="A142" s="70" t="s">
        <v>446</v>
      </c>
      <c r="B142" s="66">
        <f>115.14</f>
        <v>115.14</v>
      </c>
      <c r="C142" s="66">
        <v>500</v>
      </c>
    </row>
    <row r="143" spans="1:3" x14ac:dyDescent="0.25">
      <c r="A143" s="70" t="s">
        <v>447</v>
      </c>
      <c r="B143" s="66">
        <f>3497.35</f>
        <v>3497.35</v>
      </c>
      <c r="C143" s="66">
        <v>2500</v>
      </c>
    </row>
    <row r="144" spans="1:3" x14ac:dyDescent="0.25">
      <c r="A144" s="70" t="s">
        <v>448</v>
      </c>
      <c r="B144" s="66"/>
      <c r="C144" s="66">
        <v>250</v>
      </c>
    </row>
    <row r="145" spans="1:3" x14ac:dyDescent="0.25">
      <c r="A145" s="70" t="s">
        <v>449</v>
      </c>
      <c r="B145" s="66"/>
      <c r="C145" s="66"/>
    </row>
    <row r="146" spans="1:3" x14ac:dyDescent="0.25">
      <c r="A146" s="70" t="s">
        <v>450</v>
      </c>
      <c r="B146" s="67">
        <f>(((((((B138)+(B139))+(B140))+(B141))+(B142))+(B143))+(B144))+(B145)</f>
        <v>5818.13</v>
      </c>
      <c r="C146" s="67">
        <f>(((((((C138)+(C139))+(C140))+(C141))+(C142))+(C143))+(C144))+(C145)</f>
        <v>4500</v>
      </c>
    </row>
    <row r="147" spans="1:3" x14ac:dyDescent="0.25">
      <c r="A147" s="70" t="s">
        <v>451</v>
      </c>
      <c r="B147" s="65"/>
      <c r="C147" s="65"/>
    </row>
    <row r="148" spans="1:3" x14ac:dyDescent="0.25">
      <c r="A148" s="70" t="s">
        <v>452</v>
      </c>
      <c r="B148" s="66">
        <f>141.66</f>
        <v>141.66</v>
      </c>
      <c r="C148" s="66">
        <v>150</v>
      </c>
    </row>
    <row r="149" spans="1:3" x14ac:dyDescent="0.25">
      <c r="A149" s="70" t="s">
        <v>453</v>
      </c>
      <c r="B149" s="66">
        <f>184.99</f>
        <v>184.99</v>
      </c>
      <c r="C149" s="66">
        <v>150</v>
      </c>
    </row>
    <row r="150" spans="1:3" x14ac:dyDescent="0.25">
      <c r="A150" s="70" t="s">
        <v>454</v>
      </c>
      <c r="B150" s="66">
        <f>2000</f>
        <v>2000</v>
      </c>
      <c r="C150" s="66">
        <v>500</v>
      </c>
    </row>
    <row r="151" spans="1:3" x14ac:dyDescent="0.25">
      <c r="A151" s="70" t="s">
        <v>455</v>
      </c>
      <c r="B151" s="66">
        <f>2300</f>
        <v>2300</v>
      </c>
      <c r="C151" s="66">
        <v>1500</v>
      </c>
    </row>
    <row r="152" spans="1:3" x14ac:dyDescent="0.25">
      <c r="A152" s="70" t="s">
        <v>456</v>
      </c>
      <c r="B152" s="66">
        <f>633.11</f>
        <v>633.11</v>
      </c>
      <c r="C152" s="66">
        <v>800</v>
      </c>
    </row>
    <row r="153" spans="1:3" x14ac:dyDescent="0.25">
      <c r="A153" s="70" t="s">
        <v>457</v>
      </c>
      <c r="B153" s="66">
        <f>477.5</f>
        <v>477.5</v>
      </c>
      <c r="C153" s="66">
        <v>350</v>
      </c>
    </row>
    <row r="154" spans="1:3" x14ac:dyDescent="0.25">
      <c r="A154" s="70" t="s">
        <v>458</v>
      </c>
      <c r="B154" s="66">
        <f>3611.81</f>
        <v>3611.81</v>
      </c>
      <c r="C154" s="66">
        <v>4200</v>
      </c>
    </row>
    <row r="155" spans="1:3" x14ac:dyDescent="0.25">
      <c r="A155" s="70" t="s">
        <v>459</v>
      </c>
      <c r="B155" s="66">
        <f>3886.58</f>
        <v>3886.58</v>
      </c>
      <c r="C155" s="66">
        <v>3000</v>
      </c>
    </row>
    <row r="156" spans="1:3" x14ac:dyDescent="0.25">
      <c r="A156" s="70" t="s">
        <v>460</v>
      </c>
      <c r="B156" s="66">
        <f>78.79</f>
        <v>78.790000000000006</v>
      </c>
      <c r="C156" s="66">
        <v>0</v>
      </c>
    </row>
    <row r="157" spans="1:3" x14ac:dyDescent="0.25">
      <c r="A157" s="70" t="s">
        <v>461</v>
      </c>
      <c r="B157" s="66">
        <f>510</f>
        <v>510</v>
      </c>
      <c r="C157" s="66">
        <v>350</v>
      </c>
    </row>
    <row r="158" spans="1:3" x14ac:dyDescent="0.25">
      <c r="A158" s="70" t="s">
        <v>462</v>
      </c>
      <c r="B158" s="67">
        <f>SUM(B148:B157)</f>
        <v>13824.44</v>
      </c>
      <c r="C158" s="67">
        <f>(((((((((C147)+(C148))+(C149))+(C150))+(C151))+(C152))+(C153))+(C154))+(C155))+(C157)</f>
        <v>11000</v>
      </c>
    </row>
    <row r="159" spans="1:3" x14ac:dyDescent="0.25">
      <c r="A159" s="70" t="s">
        <v>463</v>
      </c>
      <c r="B159" s="67">
        <f>((((B128)+(B132))+(B137))+(B146))+(B158)</f>
        <v>44137.55</v>
      </c>
      <c r="C159" s="67">
        <f>((((C128)+(C132))+(C137))+(C146))+(C158)</f>
        <v>36000</v>
      </c>
    </row>
    <row r="160" spans="1:3" x14ac:dyDescent="0.25">
      <c r="A160" s="70" t="s">
        <v>464</v>
      </c>
      <c r="B160" s="74">
        <f>(((((B37)+(B56))+(B72))+(B80))+(B127))+(B159)</f>
        <v>336975.44999999995</v>
      </c>
      <c r="C160" s="67">
        <f>(((((C37)+(C56))+(C72))+(C80))+(C127))+(C159)</f>
        <v>317338.40000000002</v>
      </c>
    </row>
    <row r="161" spans="1:3" x14ac:dyDescent="0.25">
      <c r="A161" s="70" t="s">
        <v>311</v>
      </c>
      <c r="B161" s="67">
        <f>B160</f>
        <v>336975.44999999995</v>
      </c>
      <c r="C161" s="67">
        <f>C160</f>
        <v>317338.40000000002</v>
      </c>
    </row>
    <row r="162" spans="1:3" x14ac:dyDescent="0.25">
      <c r="A162" s="70" t="s">
        <v>312</v>
      </c>
      <c r="B162" s="67">
        <f>(B35)-(B161)</f>
        <v>-39021.759999999893</v>
      </c>
      <c r="C162" s="67">
        <f>(C35)-(C161)</f>
        <v>1750</v>
      </c>
    </row>
    <row r="163" spans="1:3" x14ac:dyDescent="0.25">
      <c r="A163" s="70"/>
      <c r="B163" s="67"/>
      <c r="C163" s="67"/>
    </row>
    <row r="164" spans="1:3" x14ac:dyDescent="0.25">
      <c r="A164" s="70"/>
      <c r="B164" s="80"/>
      <c r="C164" s="65"/>
    </row>
    <row r="165" spans="1:3" x14ac:dyDescent="0.25">
      <c r="A165" s="70"/>
      <c r="B165" s="80"/>
      <c r="C165" s="65"/>
    </row>
    <row r="166" spans="1:3" x14ac:dyDescent="0.25">
      <c r="A166" s="70"/>
      <c r="B166" s="80"/>
      <c r="C166" s="65"/>
    </row>
    <row r="167" spans="1:3" x14ac:dyDescent="0.25">
      <c r="A167" s="70"/>
      <c r="B167" s="80"/>
      <c r="C167" s="65"/>
    </row>
    <row r="168" spans="1:3" x14ac:dyDescent="0.25">
      <c r="A168" s="70"/>
      <c r="B168" s="80"/>
      <c r="C168" s="65"/>
    </row>
    <row r="169" spans="1:3" x14ac:dyDescent="0.25">
      <c r="A169" s="70" t="s">
        <v>465</v>
      </c>
      <c r="B169" s="81">
        <v>-14948.61</v>
      </c>
      <c r="C169" s="82">
        <f>SUM(B162:B169)</f>
        <v>-53970.369999999893</v>
      </c>
    </row>
    <row r="170" spans="1:3" x14ac:dyDescent="0.25">
      <c r="A170" s="64"/>
      <c r="B170" s="80"/>
      <c r="C170" s="82"/>
    </row>
    <row r="171" spans="1:3" x14ac:dyDescent="0.25">
      <c r="A171" t="s">
        <v>466</v>
      </c>
      <c r="B171" s="75">
        <v>27606.69</v>
      </c>
    </row>
    <row r="172" spans="1:3" x14ac:dyDescent="0.25">
      <c r="A172" t="s">
        <v>315</v>
      </c>
      <c r="B172" s="75">
        <v>-7910.56</v>
      </c>
    </row>
    <row r="173" spans="1:3" x14ac:dyDescent="0.25">
      <c r="B173" s="75"/>
    </row>
    <row r="174" spans="1:3" x14ac:dyDescent="0.25">
      <c r="B174" s="80"/>
    </row>
    <row r="175" spans="1:3" x14ac:dyDescent="0.25">
      <c r="A175" t="s">
        <v>317</v>
      </c>
      <c r="B175" s="75">
        <v>556.04</v>
      </c>
    </row>
    <row r="176" spans="1:3" x14ac:dyDescent="0.25">
      <c r="A176" t="s">
        <v>318</v>
      </c>
      <c r="B176" s="75">
        <v>-160833.41</v>
      </c>
    </row>
    <row r="177" spans="1:2" x14ac:dyDescent="0.25">
      <c r="A177" t="s">
        <v>467</v>
      </c>
      <c r="B177" s="83"/>
    </row>
    <row r="179" spans="1:2" x14ac:dyDescent="0.25">
      <c r="A179" t="s">
        <v>468</v>
      </c>
      <c r="B179" s="83"/>
    </row>
    <row r="180" spans="1:2" x14ac:dyDescent="0.25">
      <c r="B180" s="75"/>
    </row>
    <row r="181" spans="1:2" ht="15.75" thickBot="1" x14ac:dyDescent="0.3">
      <c r="A181" s="76" t="s">
        <v>319</v>
      </c>
      <c r="B181" s="77">
        <f>SUM(B162:B179)</f>
        <v>-194551.6099999999</v>
      </c>
    </row>
    <row r="182" spans="1:2" ht="15.75" thickTop="1" x14ac:dyDescent="0.25">
      <c r="B182" s="7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F0227-64B9-4B96-8536-0DB5D1C3D239}">
  <dimension ref="A1:G293"/>
  <sheetViews>
    <sheetView workbookViewId="0">
      <selection activeCell="A41" sqref="A41"/>
    </sheetView>
  </sheetViews>
  <sheetFormatPr defaultRowHeight="15" x14ac:dyDescent="0.25"/>
  <cols>
    <col min="1" max="1" width="43.7109375" bestFit="1" customWidth="1"/>
    <col min="2" max="2" width="10.140625" bestFit="1" customWidth="1"/>
    <col min="3" max="3" width="11" bestFit="1" customWidth="1"/>
    <col min="4" max="5" width="10.42578125" bestFit="1" customWidth="1"/>
    <col min="7" max="7" width="11" bestFit="1" customWidth="1"/>
  </cols>
  <sheetData>
    <row r="1" spans="1:7" ht="18" x14ac:dyDescent="0.25">
      <c r="A1" s="56" t="s">
        <v>47</v>
      </c>
      <c r="B1" s="57"/>
      <c r="C1" s="57"/>
      <c r="D1" s="57"/>
      <c r="E1" s="57"/>
      <c r="F1" s="57"/>
      <c r="G1" s="57"/>
    </row>
    <row r="2" spans="1:7" ht="18" x14ac:dyDescent="0.25">
      <c r="A2" s="56" t="s">
        <v>469</v>
      </c>
      <c r="B2" s="57"/>
      <c r="C2" s="57"/>
      <c r="D2" s="57"/>
      <c r="E2" s="57"/>
      <c r="F2" s="57"/>
      <c r="G2" s="57"/>
    </row>
    <row r="3" spans="1:7" x14ac:dyDescent="0.25">
      <c r="A3" s="58" t="s">
        <v>470</v>
      </c>
      <c r="B3" s="57"/>
      <c r="C3" s="57"/>
      <c r="D3" s="57"/>
      <c r="E3" s="57"/>
      <c r="F3" s="57"/>
      <c r="G3" s="57"/>
    </row>
    <row r="5" spans="1:7" ht="24.75" x14ac:dyDescent="0.25">
      <c r="A5" s="59"/>
      <c r="B5" s="63" t="s">
        <v>471</v>
      </c>
      <c r="C5" s="63" t="s">
        <v>472</v>
      </c>
      <c r="D5" s="63" t="s">
        <v>473</v>
      </c>
      <c r="E5" s="63" t="s">
        <v>474</v>
      </c>
      <c r="F5" s="63" t="s">
        <v>475</v>
      </c>
      <c r="G5" s="63" t="s">
        <v>476</v>
      </c>
    </row>
    <row r="6" spans="1:7" x14ac:dyDescent="0.25">
      <c r="A6" s="64" t="s">
        <v>201</v>
      </c>
      <c r="B6" s="65"/>
      <c r="C6" s="65"/>
      <c r="D6" s="65"/>
      <c r="E6" s="65"/>
      <c r="F6" s="65"/>
      <c r="G6" s="65"/>
    </row>
    <row r="7" spans="1:7" x14ac:dyDescent="0.25">
      <c r="A7" s="70" t="s">
        <v>202</v>
      </c>
      <c r="B7" s="65"/>
      <c r="C7" s="65"/>
      <c r="D7" s="65"/>
      <c r="E7" s="65"/>
      <c r="F7" s="65"/>
      <c r="G7" s="66">
        <f t="shared" ref="G7:G50" si="0">((((B7)+(C7))+(D7))+(E7))+(F7)</f>
        <v>0</v>
      </c>
    </row>
    <row r="8" spans="1:7" x14ac:dyDescent="0.25">
      <c r="A8" s="70" t="s">
        <v>203</v>
      </c>
      <c r="B8" s="65"/>
      <c r="C8" s="65"/>
      <c r="D8" s="65"/>
      <c r="E8" s="65"/>
      <c r="F8" s="65"/>
      <c r="G8" s="66">
        <f t="shared" si="0"/>
        <v>0</v>
      </c>
    </row>
    <row r="9" spans="1:7" x14ac:dyDescent="0.25">
      <c r="A9" s="70" t="s">
        <v>204</v>
      </c>
      <c r="B9" s="65"/>
      <c r="C9" s="65"/>
      <c r="D9" s="66">
        <f>177290.5</f>
        <v>177290.5</v>
      </c>
      <c r="E9" s="65"/>
      <c r="F9" s="65"/>
      <c r="G9" s="66">
        <f t="shared" si="0"/>
        <v>177290.5</v>
      </c>
    </row>
    <row r="10" spans="1:7" x14ac:dyDescent="0.25">
      <c r="A10" s="70" t="s">
        <v>477</v>
      </c>
      <c r="B10" s="65"/>
      <c r="C10" s="65"/>
      <c r="D10" s="66">
        <f>-6424.81</f>
        <v>-6424.81</v>
      </c>
      <c r="E10" s="65"/>
      <c r="F10" s="65"/>
      <c r="G10" s="66">
        <f t="shared" si="0"/>
        <v>-6424.81</v>
      </c>
    </row>
    <row r="11" spans="1:7" x14ac:dyDescent="0.25">
      <c r="A11" s="70" t="s">
        <v>205</v>
      </c>
      <c r="B11" s="67">
        <f>((B8)+(B9))+(B10)</f>
        <v>0</v>
      </c>
      <c r="C11" s="67">
        <f>((C8)+(C9))+(C10)</f>
        <v>0</v>
      </c>
      <c r="D11" s="67">
        <f>((D8)+(D9))+(D10)</f>
        <v>170865.69</v>
      </c>
      <c r="E11" s="67">
        <f>((E8)+(E9))+(E10)</f>
        <v>0</v>
      </c>
      <c r="F11" s="67">
        <f>((F8)+(F9))+(F10)</f>
        <v>0</v>
      </c>
      <c r="G11" s="67">
        <f t="shared" si="0"/>
        <v>170865.69</v>
      </c>
    </row>
    <row r="12" spans="1:7" x14ac:dyDescent="0.25">
      <c r="A12" s="70" t="s">
        <v>206</v>
      </c>
      <c r="B12" s="65"/>
      <c r="C12" s="65"/>
      <c r="D12" s="65"/>
      <c r="E12" s="65"/>
      <c r="F12" s="65"/>
      <c r="G12" s="66">
        <f t="shared" si="0"/>
        <v>0</v>
      </c>
    </row>
    <row r="13" spans="1:7" x14ac:dyDescent="0.25">
      <c r="A13" s="70" t="s">
        <v>207</v>
      </c>
      <c r="B13" s="65"/>
      <c r="C13" s="65"/>
      <c r="D13" s="65"/>
      <c r="E13" s="65"/>
      <c r="F13" s="65"/>
      <c r="G13" s="66">
        <f t="shared" si="0"/>
        <v>0</v>
      </c>
    </row>
    <row r="14" spans="1:7" x14ac:dyDescent="0.25">
      <c r="A14" s="70" t="s">
        <v>208</v>
      </c>
      <c r="B14" s="65"/>
      <c r="C14" s="65"/>
      <c r="D14" s="65"/>
      <c r="E14" s="66">
        <f>196275</f>
        <v>196275</v>
      </c>
      <c r="F14" s="65"/>
      <c r="G14" s="66">
        <f t="shared" si="0"/>
        <v>196275</v>
      </c>
    </row>
    <row r="15" spans="1:7" x14ac:dyDescent="0.25">
      <c r="A15" s="70" t="s">
        <v>478</v>
      </c>
      <c r="B15" s="65"/>
      <c r="C15" s="65"/>
      <c r="D15" s="65"/>
      <c r="E15" s="66">
        <f>-30012.11</f>
        <v>-30012.11</v>
      </c>
      <c r="F15" s="65"/>
      <c r="G15" s="66">
        <f t="shared" si="0"/>
        <v>-30012.11</v>
      </c>
    </row>
    <row r="16" spans="1:7" x14ac:dyDescent="0.25">
      <c r="A16" s="70" t="s">
        <v>209</v>
      </c>
      <c r="B16" s="67">
        <f>((B13)+(B14))+(B15)</f>
        <v>0</v>
      </c>
      <c r="C16" s="67">
        <f>((C13)+(C14))+(C15)</f>
        <v>0</v>
      </c>
      <c r="D16" s="67">
        <f>((D13)+(D14))+(D15)</f>
        <v>0</v>
      </c>
      <c r="E16" s="67">
        <f>((E13)+(E14))+(E15)</f>
        <v>166262.89000000001</v>
      </c>
      <c r="F16" s="67">
        <f>((F13)+(F14))+(F15)</f>
        <v>0</v>
      </c>
      <c r="G16" s="67">
        <f t="shared" si="0"/>
        <v>166262.89000000001</v>
      </c>
    </row>
    <row r="17" spans="1:7" x14ac:dyDescent="0.25">
      <c r="A17" s="70" t="s">
        <v>210</v>
      </c>
      <c r="B17" s="67">
        <f>(B12)+(B16)</f>
        <v>0</v>
      </c>
      <c r="C17" s="67">
        <f>(C12)+(C16)</f>
        <v>0</v>
      </c>
      <c r="D17" s="67">
        <f>(D12)+(D16)</f>
        <v>0</v>
      </c>
      <c r="E17" s="67">
        <f>(E12)+(E16)</f>
        <v>166262.89000000001</v>
      </c>
      <c r="F17" s="67">
        <f>(F12)+(F16)</f>
        <v>0</v>
      </c>
      <c r="G17" s="67">
        <f t="shared" si="0"/>
        <v>166262.89000000001</v>
      </c>
    </row>
    <row r="18" spans="1:7" x14ac:dyDescent="0.25">
      <c r="A18" s="70" t="s">
        <v>211</v>
      </c>
      <c r="B18" s="65"/>
      <c r="C18" s="65"/>
      <c r="D18" s="65"/>
      <c r="E18" s="65"/>
      <c r="F18" s="65"/>
      <c r="G18" s="66">
        <f t="shared" si="0"/>
        <v>0</v>
      </c>
    </row>
    <row r="19" spans="1:7" x14ac:dyDescent="0.25">
      <c r="A19" s="70" t="s">
        <v>215</v>
      </c>
      <c r="B19" s="65"/>
      <c r="C19" s="65"/>
      <c r="D19" s="65"/>
      <c r="E19" s="65"/>
      <c r="F19" s="65"/>
      <c r="G19" s="66">
        <f t="shared" si="0"/>
        <v>0</v>
      </c>
    </row>
    <row r="20" spans="1:7" x14ac:dyDescent="0.25">
      <c r="A20" s="70" t="s">
        <v>218</v>
      </c>
      <c r="B20" s="65"/>
      <c r="C20" s="65"/>
      <c r="D20" s="65"/>
      <c r="E20" s="66">
        <f>10274</f>
        <v>10274</v>
      </c>
      <c r="F20" s="65"/>
      <c r="G20" s="66">
        <f t="shared" si="0"/>
        <v>10274</v>
      </c>
    </row>
    <row r="21" spans="1:7" x14ac:dyDescent="0.25">
      <c r="A21" s="70" t="s">
        <v>479</v>
      </c>
      <c r="B21" s="65"/>
      <c r="C21" s="65"/>
      <c r="D21" s="65"/>
      <c r="E21" s="66">
        <f>15.56</f>
        <v>15.56</v>
      </c>
      <c r="F21" s="65"/>
      <c r="G21" s="66">
        <f t="shared" si="0"/>
        <v>15.56</v>
      </c>
    </row>
    <row r="22" spans="1:7" x14ac:dyDescent="0.25">
      <c r="A22" s="70" t="s">
        <v>480</v>
      </c>
      <c r="B22" s="65"/>
      <c r="C22" s="65"/>
      <c r="D22" s="65"/>
      <c r="E22" s="66">
        <f>153.47</f>
        <v>153.47</v>
      </c>
      <c r="F22" s="65"/>
      <c r="G22" s="66">
        <f t="shared" si="0"/>
        <v>153.47</v>
      </c>
    </row>
    <row r="23" spans="1:7" x14ac:dyDescent="0.25">
      <c r="A23" s="70" t="s">
        <v>219</v>
      </c>
      <c r="B23" s="67">
        <f>(((B19)+(B20))+(B21))+(B22)</f>
        <v>0</v>
      </c>
      <c r="C23" s="67">
        <f>(((C19)+(C20))+(C21))+(C22)</f>
        <v>0</v>
      </c>
      <c r="D23" s="67">
        <f>(((D19)+(D20))+(D21))+(D22)</f>
        <v>0</v>
      </c>
      <c r="E23" s="67">
        <f>(((E19)+(E20))+(E21))+(E22)</f>
        <v>10443.029999999999</v>
      </c>
      <c r="F23" s="67">
        <f>(((F19)+(F20))+(F21))+(F22)</f>
        <v>0</v>
      </c>
      <c r="G23" s="67">
        <f t="shared" si="0"/>
        <v>10443.029999999999</v>
      </c>
    </row>
    <row r="24" spans="1:7" x14ac:dyDescent="0.25">
      <c r="A24" s="70" t="s">
        <v>220</v>
      </c>
      <c r="B24" s="67">
        <f>(B18)+(B23)</f>
        <v>0</v>
      </c>
      <c r="C24" s="67">
        <f>(C18)+(C23)</f>
        <v>0</v>
      </c>
      <c r="D24" s="67">
        <f>(D18)+(D23)</f>
        <v>0</v>
      </c>
      <c r="E24" s="67">
        <f>(E18)+(E23)</f>
        <v>10443.029999999999</v>
      </c>
      <c r="F24" s="67">
        <f>(F18)+(F23)</f>
        <v>0</v>
      </c>
      <c r="G24" s="67">
        <f t="shared" si="0"/>
        <v>10443.029999999999</v>
      </c>
    </row>
    <row r="25" spans="1:7" x14ac:dyDescent="0.25">
      <c r="A25" s="70" t="s">
        <v>221</v>
      </c>
      <c r="B25" s="67">
        <f>(((B7)+(B11))+(B17))+(B24)</f>
        <v>0</v>
      </c>
      <c r="C25" s="67">
        <f>(((C7)+(C11))+(C17))+(C24)</f>
        <v>0</v>
      </c>
      <c r="D25" s="67">
        <f>(((D7)+(D11))+(D17))+(D24)</f>
        <v>170865.69</v>
      </c>
      <c r="E25" s="67">
        <f>(((E7)+(E11))+(E17))+(E24)</f>
        <v>176705.92000000001</v>
      </c>
      <c r="F25" s="67">
        <f>(((F7)+(F11))+(F17))+(F24)</f>
        <v>0</v>
      </c>
      <c r="G25" s="67">
        <f t="shared" si="0"/>
        <v>347571.61</v>
      </c>
    </row>
    <row r="26" spans="1:7" x14ac:dyDescent="0.25">
      <c r="A26" s="70" t="s">
        <v>321</v>
      </c>
      <c r="B26" s="65"/>
      <c r="C26" s="65"/>
      <c r="D26" s="65"/>
      <c r="E26" s="65"/>
      <c r="F26" s="65"/>
      <c r="G26" s="66">
        <f t="shared" si="0"/>
        <v>0</v>
      </c>
    </row>
    <row r="27" spans="1:7" x14ac:dyDescent="0.25">
      <c r="A27" s="70" t="s">
        <v>322</v>
      </c>
      <c r="B27" s="65"/>
      <c r="C27" s="65"/>
      <c r="D27" s="65"/>
      <c r="E27" s="65"/>
      <c r="F27" s="65"/>
      <c r="G27" s="66">
        <f t="shared" si="0"/>
        <v>0</v>
      </c>
    </row>
    <row r="28" spans="1:7" x14ac:dyDescent="0.25">
      <c r="A28" s="70" t="s">
        <v>323</v>
      </c>
      <c r="B28" s="66">
        <f>108399.49</f>
        <v>108399.49</v>
      </c>
      <c r="C28" s="65"/>
      <c r="D28" s="65"/>
      <c r="E28" s="65"/>
      <c r="F28" s="65"/>
      <c r="G28" s="66">
        <f t="shared" si="0"/>
        <v>108399.49</v>
      </c>
    </row>
    <row r="29" spans="1:7" x14ac:dyDescent="0.25">
      <c r="A29" s="70" t="s">
        <v>324</v>
      </c>
      <c r="B29" s="66">
        <f>21489</f>
        <v>21489</v>
      </c>
      <c r="C29" s="65"/>
      <c r="D29" s="65"/>
      <c r="E29" s="65"/>
      <c r="F29" s="65"/>
      <c r="G29" s="66">
        <f t="shared" si="0"/>
        <v>21489</v>
      </c>
    </row>
    <row r="30" spans="1:7" x14ac:dyDescent="0.25">
      <c r="A30" s="70" t="s">
        <v>325</v>
      </c>
      <c r="B30" s="66">
        <f>14251.5</f>
        <v>14251.5</v>
      </c>
      <c r="C30" s="65"/>
      <c r="D30" s="65"/>
      <c r="E30" s="65"/>
      <c r="F30" s="65"/>
      <c r="G30" s="66">
        <f t="shared" si="0"/>
        <v>14251.5</v>
      </c>
    </row>
    <row r="31" spans="1:7" x14ac:dyDescent="0.25">
      <c r="A31" s="70" t="s">
        <v>326</v>
      </c>
      <c r="B31" s="66">
        <f>7114.89</f>
        <v>7114.89</v>
      </c>
      <c r="C31" s="65"/>
      <c r="D31" s="65"/>
      <c r="E31" s="65"/>
      <c r="F31" s="65"/>
      <c r="G31" s="66">
        <f t="shared" si="0"/>
        <v>7114.89</v>
      </c>
    </row>
    <row r="32" spans="1:7" x14ac:dyDescent="0.25">
      <c r="A32" s="70" t="s">
        <v>327</v>
      </c>
      <c r="B32" s="67">
        <f>((((B27)+(B28))+(B29))+(B30))+(B31)</f>
        <v>151254.88</v>
      </c>
      <c r="C32" s="67">
        <f>((((C27)+(C28))+(C29))+(C30))+(C31)</f>
        <v>0</v>
      </c>
      <c r="D32" s="67">
        <f>((((D27)+(D28))+(D29))+(D30))+(D31)</f>
        <v>0</v>
      </c>
      <c r="E32" s="67">
        <f>((((E27)+(E28))+(E29))+(E30))+(E31)</f>
        <v>0</v>
      </c>
      <c r="F32" s="67">
        <f>((((F27)+(F28))+(F29))+(F30))+(F31)</f>
        <v>0</v>
      </c>
      <c r="G32" s="67">
        <f t="shared" si="0"/>
        <v>151254.88</v>
      </c>
    </row>
    <row r="33" spans="1:7" x14ac:dyDescent="0.25">
      <c r="A33" s="70" t="s">
        <v>328</v>
      </c>
      <c r="B33" s="65"/>
      <c r="C33" s="65"/>
      <c r="D33" s="65"/>
      <c r="E33" s="65"/>
      <c r="F33" s="65"/>
      <c r="G33" s="66">
        <f t="shared" si="0"/>
        <v>0</v>
      </c>
    </row>
    <row r="34" spans="1:7" x14ac:dyDescent="0.25">
      <c r="A34" s="70" t="s">
        <v>329</v>
      </c>
      <c r="B34" s="65"/>
      <c r="C34" s="65"/>
      <c r="D34" s="65"/>
      <c r="E34" s="65"/>
      <c r="F34" s="65"/>
      <c r="G34" s="66">
        <f t="shared" si="0"/>
        <v>0</v>
      </c>
    </row>
    <row r="35" spans="1:7" x14ac:dyDescent="0.25">
      <c r="A35" s="70" t="s">
        <v>330</v>
      </c>
      <c r="B35" s="66">
        <f>20369.4</f>
        <v>20369.400000000001</v>
      </c>
      <c r="C35" s="65"/>
      <c r="D35" s="65"/>
      <c r="E35" s="65"/>
      <c r="F35" s="65"/>
      <c r="G35" s="66">
        <f t="shared" si="0"/>
        <v>20369.400000000001</v>
      </c>
    </row>
    <row r="36" spans="1:7" x14ac:dyDescent="0.25">
      <c r="A36" s="70" t="s">
        <v>331</v>
      </c>
      <c r="B36" s="66">
        <f>7572.87</f>
        <v>7572.87</v>
      </c>
      <c r="C36" s="65"/>
      <c r="D36" s="65"/>
      <c r="E36" s="65"/>
      <c r="F36" s="65"/>
      <c r="G36" s="66">
        <f t="shared" si="0"/>
        <v>7572.87</v>
      </c>
    </row>
    <row r="37" spans="1:7" x14ac:dyDescent="0.25">
      <c r="A37" s="70" t="s">
        <v>332</v>
      </c>
      <c r="B37" s="66">
        <f>17500</f>
        <v>17500</v>
      </c>
      <c r="C37" s="65"/>
      <c r="D37" s="65"/>
      <c r="E37" s="65"/>
      <c r="F37" s="65"/>
      <c r="G37" s="66">
        <f t="shared" si="0"/>
        <v>17500</v>
      </c>
    </row>
    <row r="38" spans="1:7" x14ac:dyDescent="0.25">
      <c r="A38" s="70" t="s">
        <v>333</v>
      </c>
      <c r="B38" s="66">
        <f>4723</f>
        <v>4723</v>
      </c>
      <c r="C38" s="65"/>
      <c r="D38" s="65"/>
      <c r="E38" s="65"/>
      <c r="F38" s="65"/>
      <c r="G38" s="66">
        <f t="shared" si="0"/>
        <v>4723</v>
      </c>
    </row>
    <row r="39" spans="1:7" x14ac:dyDescent="0.25">
      <c r="A39" s="70" t="s">
        <v>335</v>
      </c>
      <c r="B39" s="66">
        <f>90000</f>
        <v>90000</v>
      </c>
      <c r="C39" s="65"/>
      <c r="D39" s="65"/>
      <c r="E39" s="65"/>
      <c r="F39" s="65"/>
      <c r="G39" s="66">
        <f t="shared" si="0"/>
        <v>90000</v>
      </c>
    </row>
    <row r="40" spans="1:7" x14ac:dyDescent="0.25">
      <c r="A40" s="70" t="s">
        <v>336</v>
      </c>
      <c r="B40" s="66">
        <f>800</f>
        <v>800</v>
      </c>
      <c r="C40" s="65"/>
      <c r="D40" s="65"/>
      <c r="E40" s="65"/>
      <c r="F40" s="65"/>
      <c r="G40" s="66">
        <f t="shared" si="0"/>
        <v>800</v>
      </c>
    </row>
    <row r="41" spans="1:7" x14ac:dyDescent="0.25">
      <c r="A41" s="70" t="s">
        <v>337</v>
      </c>
      <c r="B41" s="67">
        <f>((((((B34)+(B35))+(B36))+(B37))+(B38))+(B39))+(B40)</f>
        <v>140965.27000000002</v>
      </c>
      <c r="C41" s="67">
        <f>((((((C34)+(C35))+(C36))+(C37))+(C38))+(C39))+(C40)</f>
        <v>0</v>
      </c>
      <c r="D41" s="67">
        <f>((((((D34)+(D35))+(D36))+(D37))+(D38))+(D39))+(D40)</f>
        <v>0</v>
      </c>
      <c r="E41" s="67">
        <f>((((((E34)+(E35))+(E36))+(E37))+(E38))+(E39))+(E40)</f>
        <v>0</v>
      </c>
      <c r="F41" s="67">
        <f>((((((F34)+(F35))+(F36))+(F37))+(F38))+(F39))+(F40)</f>
        <v>0</v>
      </c>
      <c r="G41" s="67">
        <f t="shared" si="0"/>
        <v>140965.27000000002</v>
      </c>
    </row>
    <row r="42" spans="1:7" x14ac:dyDescent="0.25">
      <c r="A42" s="70" t="s">
        <v>338</v>
      </c>
      <c r="B42" s="66">
        <f>3626.29</f>
        <v>3626.29</v>
      </c>
      <c r="C42" s="65"/>
      <c r="D42" s="65"/>
      <c r="E42" s="65"/>
      <c r="F42" s="65"/>
      <c r="G42" s="66">
        <f t="shared" si="0"/>
        <v>3626.29</v>
      </c>
    </row>
    <row r="43" spans="1:7" x14ac:dyDescent="0.25">
      <c r="A43" s="70" t="s">
        <v>343</v>
      </c>
      <c r="B43" s="66">
        <f>2071.58</f>
        <v>2071.58</v>
      </c>
      <c r="C43" s="65"/>
      <c r="D43" s="65"/>
      <c r="E43" s="65"/>
      <c r="F43" s="65"/>
      <c r="G43" s="66">
        <f t="shared" si="0"/>
        <v>2071.58</v>
      </c>
    </row>
    <row r="44" spans="1:7" x14ac:dyDescent="0.25">
      <c r="A44" s="70" t="s">
        <v>340</v>
      </c>
      <c r="B44" s="66">
        <f>35.67</f>
        <v>35.67</v>
      </c>
      <c r="C44" s="65"/>
      <c r="D44" s="65"/>
      <c r="E44" s="65"/>
      <c r="F44" s="65"/>
      <c r="G44" s="66">
        <f t="shared" si="0"/>
        <v>35.67</v>
      </c>
    </row>
    <row r="45" spans="1:7" x14ac:dyDescent="0.25">
      <c r="A45" s="70" t="s">
        <v>344</v>
      </c>
      <c r="B45" s="67">
        <f>((((B33)+(B41))+(B42))+(B43))+(B44)</f>
        <v>146698.81000000003</v>
      </c>
      <c r="C45" s="67">
        <f>((((C33)+(C41))+(C42))+(C43))+(C44)</f>
        <v>0</v>
      </c>
      <c r="D45" s="67">
        <f>((((D33)+(D41))+(D42))+(D43))+(D44)</f>
        <v>0</v>
      </c>
      <c r="E45" s="67">
        <f>((((E33)+(E41))+(E42))+(E43))+(E44)</f>
        <v>0</v>
      </c>
      <c r="F45" s="67">
        <f>((((F33)+(F41))+(F42))+(F43))+(F44)</f>
        <v>0</v>
      </c>
      <c r="G45" s="67">
        <f t="shared" si="0"/>
        <v>146698.81000000003</v>
      </c>
    </row>
    <row r="46" spans="1:7" x14ac:dyDescent="0.25">
      <c r="A46" s="70" t="s">
        <v>481</v>
      </c>
      <c r="B46" s="66">
        <f>0</f>
        <v>0</v>
      </c>
      <c r="C46" s="65"/>
      <c r="D46" s="65"/>
      <c r="E46" s="65"/>
      <c r="F46" s="65"/>
      <c r="G46" s="66">
        <f t="shared" si="0"/>
        <v>0</v>
      </c>
    </row>
    <row r="47" spans="1:7" x14ac:dyDescent="0.25">
      <c r="A47" s="70" t="s">
        <v>345</v>
      </c>
      <c r="B47" s="67">
        <f>(((B26)+(B32))+(B45))+(B46)</f>
        <v>297953.69000000006</v>
      </c>
      <c r="C47" s="67">
        <f>(((C26)+(C32))+(C45))+(C46)</f>
        <v>0</v>
      </c>
      <c r="D47" s="67">
        <f>(((D26)+(D32))+(D45))+(D46)</f>
        <v>0</v>
      </c>
      <c r="E47" s="67">
        <f>(((E26)+(E32))+(E45))+(E46)</f>
        <v>0</v>
      </c>
      <c r="F47" s="67">
        <f>(((F26)+(F32))+(F45))+(F46)</f>
        <v>0</v>
      </c>
      <c r="G47" s="67">
        <f t="shared" si="0"/>
        <v>297953.69000000006</v>
      </c>
    </row>
    <row r="48" spans="1:7" x14ac:dyDescent="0.25">
      <c r="A48" s="70" t="s">
        <v>482</v>
      </c>
      <c r="B48" s="66">
        <f>0</f>
        <v>0</v>
      </c>
      <c r="C48" s="65"/>
      <c r="D48" s="65"/>
      <c r="E48" s="65"/>
      <c r="F48" s="65"/>
      <c r="G48" s="66">
        <f t="shared" si="0"/>
        <v>0</v>
      </c>
    </row>
    <row r="49" spans="1:7" x14ac:dyDescent="0.25">
      <c r="A49" s="70" t="s">
        <v>222</v>
      </c>
      <c r="B49" s="67">
        <f>((B25)+(B47))+(B48)</f>
        <v>297953.69000000006</v>
      </c>
      <c r="C49" s="67">
        <f>((C25)+(C47))+(C48)</f>
        <v>0</v>
      </c>
      <c r="D49" s="67">
        <f>((D25)+(D47))+(D48)</f>
        <v>170865.69</v>
      </c>
      <c r="E49" s="67">
        <f>((E25)+(E47))+(E48)</f>
        <v>176705.92000000001</v>
      </c>
      <c r="F49" s="67">
        <f>((F25)+(F47))+(F48)</f>
        <v>0</v>
      </c>
      <c r="G49" s="67">
        <f t="shared" si="0"/>
        <v>645525.30000000005</v>
      </c>
    </row>
    <row r="50" spans="1:7" x14ac:dyDescent="0.25">
      <c r="A50" s="70" t="s">
        <v>223</v>
      </c>
      <c r="B50" s="67">
        <f>(B49)-(0)</f>
        <v>297953.69000000006</v>
      </c>
      <c r="C50" s="67">
        <f>(C49)-(0)</f>
        <v>0</v>
      </c>
      <c r="D50" s="67">
        <f>(D49)-(0)</f>
        <v>170865.69</v>
      </c>
      <c r="E50" s="67">
        <f>(E49)-(0)</f>
        <v>176705.92000000001</v>
      </c>
      <c r="F50" s="67">
        <f>(F49)-(0)</f>
        <v>0</v>
      </c>
      <c r="G50" s="67">
        <f t="shared" si="0"/>
        <v>645525.30000000005</v>
      </c>
    </row>
    <row r="51" spans="1:7" x14ac:dyDescent="0.25">
      <c r="A51" s="70" t="s">
        <v>224</v>
      </c>
      <c r="B51" s="65"/>
      <c r="C51" s="65"/>
      <c r="D51" s="65"/>
      <c r="E51" s="65"/>
      <c r="F51" s="65"/>
      <c r="G51" s="65"/>
    </row>
    <row r="52" spans="1:7" x14ac:dyDescent="0.25">
      <c r="A52" s="70" t="s">
        <v>346</v>
      </c>
      <c r="B52" s="65"/>
      <c r="C52" s="65"/>
      <c r="D52" s="65"/>
      <c r="E52" s="65"/>
      <c r="F52" s="65"/>
      <c r="G52" s="66">
        <f t="shared" ref="G52:G115" si="1">((((B52)+(C52))+(D52))+(E52))+(F52)</f>
        <v>0</v>
      </c>
    </row>
    <row r="53" spans="1:7" x14ac:dyDescent="0.25">
      <c r="A53" s="70" t="s">
        <v>347</v>
      </c>
      <c r="B53" s="65"/>
      <c r="C53" s="65"/>
      <c r="D53" s="65"/>
      <c r="E53" s="65"/>
      <c r="F53" s="65"/>
      <c r="G53" s="66">
        <f t="shared" si="1"/>
        <v>0</v>
      </c>
    </row>
    <row r="54" spans="1:7" x14ac:dyDescent="0.25">
      <c r="A54" s="70" t="s">
        <v>348</v>
      </c>
      <c r="B54" s="66">
        <f>10245</f>
        <v>10245</v>
      </c>
      <c r="C54" s="65"/>
      <c r="D54" s="65"/>
      <c r="E54" s="65"/>
      <c r="F54" s="65"/>
      <c r="G54" s="66">
        <f t="shared" si="1"/>
        <v>10245</v>
      </c>
    </row>
    <row r="55" spans="1:7" x14ac:dyDescent="0.25">
      <c r="A55" s="70" t="s">
        <v>483</v>
      </c>
      <c r="B55" s="66">
        <f>1260</f>
        <v>1260</v>
      </c>
      <c r="C55" s="65"/>
      <c r="D55" s="65"/>
      <c r="E55" s="65"/>
      <c r="F55" s="65"/>
      <c r="G55" s="66">
        <f t="shared" si="1"/>
        <v>1260</v>
      </c>
    </row>
    <row r="56" spans="1:7" x14ac:dyDescent="0.25">
      <c r="A56" s="70" t="s">
        <v>351</v>
      </c>
      <c r="B56" s="66">
        <f>11650</f>
        <v>11650</v>
      </c>
      <c r="C56" s="65"/>
      <c r="D56" s="65"/>
      <c r="E56" s="65"/>
      <c r="F56" s="65"/>
      <c r="G56" s="66">
        <f t="shared" si="1"/>
        <v>11650</v>
      </c>
    </row>
    <row r="57" spans="1:7" x14ac:dyDescent="0.25">
      <c r="A57" s="70" t="s">
        <v>352</v>
      </c>
      <c r="B57" s="66">
        <f>3625</f>
        <v>3625</v>
      </c>
      <c r="C57" s="65"/>
      <c r="D57" s="65"/>
      <c r="E57" s="65"/>
      <c r="F57" s="65"/>
      <c r="G57" s="66">
        <f t="shared" si="1"/>
        <v>3625</v>
      </c>
    </row>
    <row r="58" spans="1:7" x14ac:dyDescent="0.25">
      <c r="A58" s="70" t="s">
        <v>353</v>
      </c>
      <c r="B58" s="66">
        <f>2800.02</f>
        <v>2800.02</v>
      </c>
      <c r="C58" s="65"/>
      <c r="D58" s="65"/>
      <c r="E58" s="65"/>
      <c r="F58" s="65"/>
      <c r="G58" s="66">
        <f t="shared" si="1"/>
        <v>2800.02</v>
      </c>
    </row>
    <row r="59" spans="1:7" x14ac:dyDescent="0.25">
      <c r="A59" s="70" t="s">
        <v>354</v>
      </c>
      <c r="B59" s="66">
        <f>2449.98</f>
        <v>2449.98</v>
      </c>
      <c r="C59" s="65"/>
      <c r="D59" s="65"/>
      <c r="E59" s="65"/>
      <c r="F59" s="65"/>
      <c r="G59" s="66">
        <f t="shared" si="1"/>
        <v>2449.98</v>
      </c>
    </row>
    <row r="60" spans="1:7" x14ac:dyDescent="0.25">
      <c r="A60" s="70" t="s">
        <v>355</v>
      </c>
      <c r="B60" s="66">
        <f>2313.3</f>
        <v>2313.3000000000002</v>
      </c>
      <c r="C60" s="65"/>
      <c r="D60" s="65"/>
      <c r="E60" s="65"/>
      <c r="F60" s="65"/>
      <c r="G60" s="66">
        <f t="shared" si="1"/>
        <v>2313.3000000000002</v>
      </c>
    </row>
    <row r="61" spans="1:7" x14ac:dyDescent="0.25">
      <c r="A61" s="70" t="s">
        <v>356</v>
      </c>
      <c r="B61" s="66">
        <f>3825</f>
        <v>3825</v>
      </c>
      <c r="C61" s="65"/>
      <c r="D61" s="65"/>
      <c r="E61" s="65"/>
      <c r="F61" s="65"/>
      <c r="G61" s="66">
        <f t="shared" si="1"/>
        <v>3825</v>
      </c>
    </row>
    <row r="62" spans="1:7" x14ac:dyDescent="0.25">
      <c r="A62" s="70" t="s">
        <v>484</v>
      </c>
      <c r="B62" s="66">
        <f>3150</f>
        <v>3150</v>
      </c>
      <c r="C62" s="65"/>
      <c r="D62" s="65"/>
      <c r="E62" s="65"/>
      <c r="F62" s="65"/>
      <c r="G62" s="66">
        <f t="shared" si="1"/>
        <v>3150</v>
      </c>
    </row>
    <row r="63" spans="1:7" x14ac:dyDescent="0.25">
      <c r="A63" s="70" t="s">
        <v>358</v>
      </c>
      <c r="B63" s="66">
        <f>4175.01</f>
        <v>4175.01</v>
      </c>
      <c r="C63" s="65"/>
      <c r="D63" s="65"/>
      <c r="E63" s="65"/>
      <c r="F63" s="65"/>
      <c r="G63" s="66">
        <f t="shared" si="1"/>
        <v>4175.01</v>
      </c>
    </row>
    <row r="64" spans="1:7" x14ac:dyDescent="0.25">
      <c r="A64" s="70" t="s">
        <v>363</v>
      </c>
      <c r="B64" s="66">
        <f>14460.8</f>
        <v>14460.8</v>
      </c>
      <c r="C64" s="65"/>
      <c r="D64" s="65"/>
      <c r="E64" s="65"/>
      <c r="F64" s="65"/>
      <c r="G64" s="66">
        <f t="shared" si="1"/>
        <v>14460.8</v>
      </c>
    </row>
    <row r="65" spans="1:7" x14ac:dyDescent="0.25">
      <c r="A65" s="70" t="s">
        <v>361</v>
      </c>
      <c r="B65" s="66">
        <f>3150</f>
        <v>3150</v>
      </c>
      <c r="C65" s="65"/>
      <c r="D65" s="65"/>
      <c r="E65" s="65"/>
      <c r="F65" s="65"/>
      <c r="G65" s="66">
        <f t="shared" si="1"/>
        <v>3150</v>
      </c>
    </row>
    <row r="66" spans="1:7" x14ac:dyDescent="0.25">
      <c r="A66" s="70" t="s">
        <v>485</v>
      </c>
      <c r="B66" s="66">
        <f>875</f>
        <v>875</v>
      </c>
      <c r="C66" s="65"/>
      <c r="D66" s="65"/>
      <c r="E66" s="65"/>
      <c r="F66" s="65"/>
      <c r="G66" s="66">
        <f t="shared" si="1"/>
        <v>875</v>
      </c>
    </row>
    <row r="67" spans="1:7" x14ac:dyDescent="0.25">
      <c r="A67" s="70" t="s">
        <v>362</v>
      </c>
      <c r="B67" s="66">
        <f>1200</f>
        <v>1200</v>
      </c>
      <c r="C67" s="65"/>
      <c r="D67" s="65"/>
      <c r="E67" s="65"/>
      <c r="F67" s="65"/>
      <c r="G67" s="66">
        <f t="shared" si="1"/>
        <v>1200</v>
      </c>
    </row>
    <row r="68" spans="1:7" x14ac:dyDescent="0.25">
      <c r="A68" s="70" t="s">
        <v>364</v>
      </c>
      <c r="B68" s="66">
        <f>28630.04</f>
        <v>28630.04</v>
      </c>
      <c r="C68" s="65"/>
      <c r="D68" s="65"/>
      <c r="E68" s="65"/>
      <c r="F68" s="65"/>
      <c r="G68" s="66">
        <f t="shared" si="1"/>
        <v>28630.04</v>
      </c>
    </row>
    <row r="69" spans="1:7" x14ac:dyDescent="0.25">
      <c r="A69" s="70" t="s">
        <v>365</v>
      </c>
      <c r="B69" s="67">
        <f>(((((((((((((((B53)+(B54))+(B55))+(B56))+(B57))+(B58))+(B59))+(B60))+(B61))+(B62))+(B63))+(B64))+(B65))+(B66))+(B67))+(B68)</f>
        <v>93809.15</v>
      </c>
      <c r="C69" s="67">
        <f>(((((((((((((((C53)+(C54))+(C55))+(C56))+(C57))+(C58))+(C59))+(C60))+(C61))+(C62))+(C63))+(C64))+(C65))+(C66))+(C67))+(C68)</f>
        <v>0</v>
      </c>
      <c r="D69" s="67">
        <f>(((((((((((((((D53)+(D54))+(D55))+(D56))+(D57))+(D58))+(D59))+(D60))+(D61))+(D62))+(D63))+(D64))+(D65))+(D66))+(D67))+(D68)</f>
        <v>0</v>
      </c>
      <c r="E69" s="67">
        <f>(((((((((((((((E53)+(E54))+(E55))+(E56))+(E57))+(E58))+(E59))+(E60))+(E61))+(E62))+(E63))+(E64))+(E65))+(E66))+(E67))+(E68)</f>
        <v>0</v>
      </c>
      <c r="F69" s="67">
        <f>(((((((((((((((F53)+(F54))+(F55))+(F56))+(F57))+(F58))+(F59))+(F60))+(F61))+(F62))+(F63))+(F64))+(F65))+(F66))+(F67))+(F68)</f>
        <v>0</v>
      </c>
      <c r="G69" s="67">
        <f t="shared" si="1"/>
        <v>93809.15</v>
      </c>
    </row>
    <row r="70" spans="1:7" x14ac:dyDescent="0.25">
      <c r="A70" s="70" t="s">
        <v>366</v>
      </c>
      <c r="B70" s="65"/>
      <c r="C70" s="65"/>
      <c r="D70" s="65"/>
      <c r="E70" s="65"/>
      <c r="F70" s="65"/>
      <c r="G70" s="66">
        <f t="shared" si="1"/>
        <v>0</v>
      </c>
    </row>
    <row r="71" spans="1:7" x14ac:dyDescent="0.25">
      <c r="A71" s="70" t="s">
        <v>367</v>
      </c>
      <c r="B71" s="65"/>
      <c r="C71" s="65"/>
      <c r="D71" s="65"/>
      <c r="E71" s="65"/>
      <c r="F71" s="65"/>
      <c r="G71" s="66">
        <f t="shared" si="1"/>
        <v>0</v>
      </c>
    </row>
    <row r="72" spans="1:7" x14ac:dyDescent="0.25">
      <c r="A72" s="70" t="s">
        <v>368</v>
      </c>
      <c r="B72" s="66">
        <f>71999.98</f>
        <v>71999.98</v>
      </c>
      <c r="C72" s="65"/>
      <c r="D72" s="65"/>
      <c r="E72" s="65"/>
      <c r="F72" s="65"/>
      <c r="G72" s="66">
        <f t="shared" si="1"/>
        <v>71999.98</v>
      </c>
    </row>
    <row r="73" spans="1:7" x14ac:dyDescent="0.25">
      <c r="A73" s="70" t="s">
        <v>369</v>
      </c>
      <c r="B73" s="66">
        <f>13785.52</f>
        <v>13785.52</v>
      </c>
      <c r="C73" s="65"/>
      <c r="D73" s="65"/>
      <c r="E73" s="65"/>
      <c r="F73" s="65"/>
      <c r="G73" s="66">
        <f t="shared" si="1"/>
        <v>13785.52</v>
      </c>
    </row>
    <row r="74" spans="1:7" x14ac:dyDescent="0.25">
      <c r="A74" s="70" t="s">
        <v>370</v>
      </c>
      <c r="B74" s="67">
        <f>((B71)+(B72))+(B73)</f>
        <v>85785.5</v>
      </c>
      <c r="C74" s="67">
        <f>((C71)+(C72))+(C73)</f>
        <v>0</v>
      </c>
      <c r="D74" s="67">
        <f>((D71)+(D72))+(D73)</f>
        <v>0</v>
      </c>
      <c r="E74" s="67">
        <f>((E71)+(E72))+(E73)</f>
        <v>0</v>
      </c>
      <c r="F74" s="67">
        <f>((F71)+(F72))+(F73)</f>
        <v>0</v>
      </c>
      <c r="G74" s="67">
        <f t="shared" si="1"/>
        <v>85785.5</v>
      </c>
    </row>
    <row r="75" spans="1:7" x14ac:dyDescent="0.25">
      <c r="A75" s="70" t="s">
        <v>371</v>
      </c>
      <c r="B75" s="65"/>
      <c r="C75" s="65"/>
      <c r="D75" s="65"/>
      <c r="E75" s="65"/>
      <c r="F75" s="65"/>
      <c r="G75" s="66">
        <f t="shared" si="1"/>
        <v>0</v>
      </c>
    </row>
    <row r="76" spans="1:7" x14ac:dyDescent="0.25">
      <c r="A76" s="70" t="s">
        <v>372</v>
      </c>
      <c r="B76" s="66">
        <f>28087.44</f>
        <v>28087.439999999999</v>
      </c>
      <c r="C76" s="65"/>
      <c r="D76" s="65"/>
      <c r="E76" s="65"/>
      <c r="F76" s="65"/>
      <c r="G76" s="66">
        <f t="shared" si="1"/>
        <v>28087.439999999999</v>
      </c>
    </row>
    <row r="77" spans="1:7" x14ac:dyDescent="0.25">
      <c r="A77" s="70" t="s">
        <v>373</v>
      </c>
      <c r="B77" s="67">
        <f>(B75)+(B76)</f>
        <v>28087.439999999999</v>
      </c>
      <c r="C77" s="67">
        <f>(C75)+(C76)</f>
        <v>0</v>
      </c>
      <c r="D77" s="67">
        <f>(D75)+(D76)</f>
        <v>0</v>
      </c>
      <c r="E77" s="67">
        <f>(E75)+(E76)</f>
        <v>0</v>
      </c>
      <c r="F77" s="67">
        <f>(F75)+(F76)</f>
        <v>0</v>
      </c>
      <c r="G77" s="67">
        <f t="shared" si="1"/>
        <v>28087.439999999999</v>
      </c>
    </row>
    <row r="78" spans="1:7" x14ac:dyDescent="0.25">
      <c r="A78" s="70" t="s">
        <v>374</v>
      </c>
      <c r="B78" s="65"/>
      <c r="C78" s="65"/>
      <c r="D78" s="65"/>
      <c r="E78" s="65"/>
      <c r="F78" s="65"/>
      <c r="G78" s="66">
        <f t="shared" si="1"/>
        <v>0</v>
      </c>
    </row>
    <row r="79" spans="1:7" x14ac:dyDescent="0.25">
      <c r="A79" s="70" t="s">
        <v>375</v>
      </c>
      <c r="B79" s="66">
        <f>9062.72</f>
        <v>9062.7199999999993</v>
      </c>
      <c r="C79" s="65"/>
      <c r="D79" s="65"/>
      <c r="E79" s="65"/>
      <c r="F79" s="65"/>
      <c r="G79" s="66">
        <f t="shared" si="1"/>
        <v>9062.7199999999993</v>
      </c>
    </row>
    <row r="80" spans="1:7" x14ac:dyDescent="0.25">
      <c r="A80" s="70" t="s">
        <v>486</v>
      </c>
      <c r="B80" s="67">
        <f>(B78)+(B79)</f>
        <v>9062.7199999999993</v>
      </c>
      <c r="C80" s="67">
        <f>(C78)+(C79)</f>
        <v>0</v>
      </c>
      <c r="D80" s="67">
        <f>(D78)+(D79)</f>
        <v>0</v>
      </c>
      <c r="E80" s="67">
        <f>(E78)+(E79)</f>
        <v>0</v>
      </c>
      <c r="F80" s="67">
        <f>(F78)+(F79)</f>
        <v>0</v>
      </c>
      <c r="G80" s="67">
        <f t="shared" si="1"/>
        <v>9062.7199999999993</v>
      </c>
    </row>
    <row r="81" spans="1:7" x14ac:dyDescent="0.25">
      <c r="A81" s="70" t="s">
        <v>376</v>
      </c>
      <c r="B81" s="66">
        <f>325.05</f>
        <v>325.05</v>
      </c>
      <c r="C81" s="65"/>
      <c r="D81" s="65"/>
      <c r="E81" s="65"/>
      <c r="F81" s="65"/>
      <c r="G81" s="66">
        <f t="shared" si="1"/>
        <v>325.05</v>
      </c>
    </row>
    <row r="82" spans="1:7" x14ac:dyDescent="0.25">
      <c r="A82" s="70" t="s">
        <v>378</v>
      </c>
      <c r="B82" s="67">
        <f>((((B70)+(B74))+(B77))+(B80))+(B81)</f>
        <v>123260.71</v>
      </c>
      <c r="C82" s="67">
        <f>((((C70)+(C74))+(C77))+(C80))+(C81)</f>
        <v>0</v>
      </c>
      <c r="D82" s="67">
        <f>((((D70)+(D74))+(D77))+(D80))+(D81)</f>
        <v>0</v>
      </c>
      <c r="E82" s="67">
        <f>((((E70)+(E74))+(E77))+(E80))+(E81)</f>
        <v>0</v>
      </c>
      <c r="F82" s="67">
        <f>((((F70)+(F74))+(F77))+(F80))+(F81)</f>
        <v>0</v>
      </c>
      <c r="G82" s="67">
        <f t="shared" si="1"/>
        <v>123260.71</v>
      </c>
    </row>
    <row r="83" spans="1:7" x14ac:dyDescent="0.25">
      <c r="A83" s="70" t="s">
        <v>379</v>
      </c>
      <c r="B83" s="65"/>
      <c r="C83" s="65"/>
      <c r="D83" s="65"/>
      <c r="E83" s="65"/>
      <c r="F83" s="65"/>
      <c r="G83" s="66">
        <f t="shared" si="1"/>
        <v>0</v>
      </c>
    </row>
    <row r="84" spans="1:7" x14ac:dyDescent="0.25">
      <c r="A84" s="70" t="s">
        <v>380</v>
      </c>
      <c r="B84" s="66">
        <f>5095.13</f>
        <v>5095.13</v>
      </c>
      <c r="C84" s="65"/>
      <c r="D84" s="65"/>
      <c r="E84" s="65"/>
      <c r="F84" s="65"/>
      <c r="G84" s="66">
        <f t="shared" si="1"/>
        <v>5095.13</v>
      </c>
    </row>
    <row r="85" spans="1:7" x14ac:dyDescent="0.25">
      <c r="A85" s="70" t="s">
        <v>487</v>
      </c>
      <c r="B85" s="66">
        <f>18508.77</f>
        <v>18508.77</v>
      </c>
      <c r="C85" s="65"/>
      <c r="D85" s="65"/>
      <c r="E85" s="65"/>
      <c r="F85" s="65"/>
      <c r="G85" s="66">
        <f t="shared" si="1"/>
        <v>18508.77</v>
      </c>
    </row>
    <row r="86" spans="1:7" x14ac:dyDescent="0.25">
      <c r="A86" s="70" t="s">
        <v>488</v>
      </c>
      <c r="B86" s="66">
        <f>600</f>
        <v>600</v>
      </c>
      <c r="C86" s="65"/>
      <c r="D86" s="65"/>
      <c r="E86" s="65"/>
      <c r="F86" s="65"/>
      <c r="G86" s="66">
        <f t="shared" si="1"/>
        <v>600</v>
      </c>
    </row>
    <row r="87" spans="1:7" x14ac:dyDescent="0.25">
      <c r="A87" s="70" t="s">
        <v>382</v>
      </c>
      <c r="B87" s="66">
        <f>2386.8</f>
        <v>2386.8000000000002</v>
      </c>
      <c r="C87" s="65"/>
      <c r="D87" s="65"/>
      <c r="E87" s="65"/>
      <c r="F87" s="65"/>
      <c r="G87" s="66">
        <f t="shared" si="1"/>
        <v>2386.8000000000002</v>
      </c>
    </row>
    <row r="88" spans="1:7" x14ac:dyDescent="0.25">
      <c r="A88" s="70" t="s">
        <v>384</v>
      </c>
      <c r="B88" s="66">
        <f>487.37</f>
        <v>487.37</v>
      </c>
      <c r="C88" s="65"/>
      <c r="D88" s="65"/>
      <c r="E88" s="65"/>
      <c r="F88" s="65"/>
      <c r="G88" s="66">
        <f t="shared" si="1"/>
        <v>487.37</v>
      </c>
    </row>
    <row r="89" spans="1:7" x14ac:dyDescent="0.25">
      <c r="A89" s="70" t="s">
        <v>385</v>
      </c>
      <c r="B89" s="66">
        <f>1152.43</f>
        <v>1152.43</v>
      </c>
      <c r="C89" s="65"/>
      <c r="D89" s="65"/>
      <c r="E89" s="65"/>
      <c r="F89" s="65"/>
      <c r="G89" s="66">
        <f t="shared" si="1"/>
        <v>1152.43</v>
      </c>
    </row>
    <row r="90" spans="1:7" x14ac:dyDescent="0.25">
      <c r="A90" s="70" t="s">
        <v>386</v>
      </c>
      <c r="B90" s="67">
        <f>((((((B83)+(B84))+(B85))+(B86))+(B87))+(B88))+(B89)</f>
        <v>28230.5</v>
      </c>
      <c r="C90" s="67">
        <f>((((((C83)+(C84))+(C85))+(C86))+(C87))+(C88))+(C89)</f>
        <v>0</v>
      </c>
      <c r="D90" s="67">
        <f>((((((D83)+(D84))+(D85))+(D86))+(D87))+(D88))+(D89)</f>
        <v>0</v>
      </c>
      <c r="E90" s="67">
        <f>((((((E83)+(E84))+(E85))+(E86))+(E87))+(E88))+(E89)</f>
        <v>0</v>
      </c>
      <c r="F90" s="67">
        <f>((((((F83)+(F84))+(F85))+(F86))+(F87))+(F88))+(F89)</f>
        <v>0</v>
      </c>
      <c r="G90" s="67">
        <f t="shared" si="1"/>
        <v>28230.5</v>
      </c>
    </row>
    <row r="91" spans="1:7" x14ac:dyDescent="0.25">
      <c r="A91" s="70" t="s">
        <v>387</v>
      </c>
      <c r="B91" s="65"/>
      <c r="C91" s="65"/>
      <c r="D91" s="65"/>
      <c r="E91" s="65"/>
      <c r="F91" s="65"/>
      <c r="G91" s="66">
        <f t="shared" si="1"/>
        <v>0</v>
      </c>
    </row>
    <row r="92" spans="1:7" x14ac:dyDescent="0.25">
      <c r="A92" s="70" t="s">
        <v>489</v>
      </c>
      <c r="B92" s="66">
        <f>0</f>
        <v>0</v>
      </c>
      <c r="C92" s="65"/>
      <c r="D92" s="65"/>
      <c r="E92" s="65"/>
      <c r="F92" s="65"/>
      <c r="G92" s="66">
        <f t="shared" si="1"/>
        <v>0</v>
      </c>
    </row>
    <row r="93" spans="1:7" x14ac:dyDescent="0.25">
      <c r="A93" s="70" t="s">
        <v>490</v>
      </c>
      <c r="B93" s="66">
        <f>2187.03</f>
        <v>2187.0300000000002</v>
      </c>
      <c r="C93" s="65"/>
      <c r="D93" s="65"/>
      <c r="E93" s="65"/>
      <c r="F93" s="65"/>
      <c r="G93" s="66">
        <f t="shared" si="1"/>
        <v>2187.0300000000002</v>
      </c>
    </row>
    <row r="94" spans="1:7" x14ac:dyDescent="0.25">
      <c r="A94" s="70" t="s">
        <v>390</v>
      </c>
      <c r="B94" s="66">
        <f>4586.87</f>
        <v>4586.87</v>
      </c>
      <c r="C94" s="65"/>
      <c r="D94" s="65"/>
      <c r="E94" s="65"/>
      <c r="F94" s="65"/>
      <c r="G94" s="66">
        <f t="shared" si="1"/>
        <v>4586.87</v>
      </c>
    </row>
    <row r="95" spans="1:7" x14ac:dyDescent="0.25">
      <c r="A95" s="70" t="s">
        <v>491</v>
      </c>
      <c r="B95" s="66">
        <f>2121.35</f>
        <v>2121.35</v>
      </c>
      <c r="C95" s="65"/>
      <c r="D95" s="65"/>
      <c r="E95" s="65"/>
      <c r="F95" s="65"/>
      <c r="G95" s="66">
        <f t="shared" si="1"/>
        <v>2121.35</v>
      </c>
    </row>
    <row r="96" spans="1:7" x14ac:dyDescent="0.25">
      <c r="A96" s="70" t="s">
        <v>392</v>
      </c>
      <c r="B96" s="66">
        <f>151.29</f>
        <v>151.29</v>
      </c>
      <c r="C96" s="65"/>
      <c r="D96" s="65"/>
      <c r="E96" s="65"/>
      <c r="F96" s="65"/>
      <c r="G96" s="66">
        <f t="shared" si="1"/>
        <v>151.29</v>
      </c>
    </row>
    <row r="97" spans="1:7" x14ac:dyDescent="0.25">
      <c r="A97" s="70" t="s">
        <v>393</v>
      </c>
      <c r="B97" s="66">
        <f>1527.71</f>
        <v>1527.71</v>
      </c>
      <c r="C97" s="65"/>
      <c r="D97" s="65"/>
      <c r="E97" s="65"/>
      <c r="F97" s="65"/>
      <c r="G97" s="66">
        <f t="shared" si="1"/>
        <v>1527.71</v>
      </c>
    </row>
    <row r="98" spans="1:7" x14ac:dyDescent="0.25">
      <c r="A98" s="70" t="s">
        <v>394</v>
      </c>
      <c r="B98" s="65"/>
      <c r="C98" s="65"/>
      <c r="D98" s="65"/>
      <c r="E98" s="65"/>
      <c r="F98" s="65"/>
      <c r="G98" s="66">
        <f t="shared" si="1"/>
        <v>0</v>
      </c>
    </row>
    <row r="99" spans="1:7" x14ac:dyDescent="0.25">
      <c r="A99" s="70" t="s">
        <v>395</v>
      </c>
      <c r="B99" s="66">
        <f>865.7</f>
        <v>865.7</v>
      </c>
      <c r="C99" s="65"/>
      <c r="D99" s="65"/>
      <c r="E99" s="65"/>
      <c r="F99" s="65"/>
      <c r="G99" s="66">
        <f t="shared" si="1"/>
        <v>865.7</v>
      </c>
    </row>
    <row r="100" spans="1:7" x14ac:dyDescent="0.25">
      <c r="A100" s="70" t="s">
        <v>396</v>
      </c>
      <c r="B100" s="66">
        <f>1457</f>
        <v>1457</v>
      </c>
      <c r="C100" s="65"/>
      <c r="D100" s="65"/>
      <c r="E100" s="65"/>
      <c r="F100" s="65"/>
      <c r="G100" s="66">
        <f t="shared" si="1"/>
        <v>1457</v>
      </c>
    </row>
    <row r="101" spans="1:7" x14ac:dyDescent="0.25">
      <c r="A101" s="70" t="s">
        <v>397</v>
      </c>
      <c r="B101" s="66">
        <f>399.92</f>
        <v>399.92</v>
      </c>
      <c r="C101" s="65"/>
      <c r="D101" s="65"/>
      <c r="E101" s="65"/>
      <c r="F101" s="65"/>
      <c r="G101" s="66">
        <f t="shared" si="1"/>
        <v>399.92</v>
      </c>
    </row>
    <row r="102" spans="1:7" x14ac:dyDescent="0.25">
      <c r="A102" s="70" t="s">
        <v>398</v>
      </c>
      <c r="B102" s="67">
        <f>(((B98)+(B99))+(B100))+(B101)</f>
        <v>2722.62</v>
      </c>
      <c r="C102" s="67">
        <f>(((C98)+(C99))+(C100))+(C101)</f>
        <v>0</v>
      </c>
      <c r="D102" s="67">
        <f>(((D98)+(D99))+(D100))+(D101)</f>
        <v>0</v>
      </c>
      <c r="E102" s="67">
        <f>(((E98)+(E99))+(E100))+(E101)</f>
        <v>0</v>
      </c>
      <c r="F102" s="67">
        <f>(((F98)+(F99))+(F100))+(F101)</f>
        <v>0</v>
      </c>
      <c r="G102" s="67">
        <f t="shared" si="1"/>
        <v>2722.62</v>
      </c>
    </row>
    <row r="103" spans="1:7" x14ac:dyDescent="0.25">
      <c r="A103" s="70" t="s">
        <v>400</v>
      </c>
      <c r="B103" s="65"/>
      <c r="C103" s="65"/>
      <c r="D103" s="65"/>
      <c r="E103" s="65"/>
      <c r="F103" s="65"/>
      <c r="G103" s="66">
        <f t="shared" si="1"/>
        <v>0</v>
      </c>
    </row>
    <row r="104" spans="1:7" x14ac:dyDescent="0.25">
      <c r="A104" s="70" t="s">
        <v>401</v>
      </c>
      <c r="B104" s="66">
        <f>577.18</f>
        <v>577.17999999999995</v>
      </c>
      <c r="C104" s="65"/>
      <c r="D104" s="65"/>
      <c r="E104" s="65"/>
      <c r="F104" s="65"/>
      <c r="G104" s="66">
        <f t="shared" si="1"/>
        <v>577.17999999999995</v>
      </c>
    </row>
    <row r="105" spans="1:7" x14ac:dyDescent="0.25">
      <c r="A105" s="70" t="s">
        <v>402</v>
      </c>
      <c r="B105" s="66">
        <f>60.84</f>
        <v>60.84</v>
      </c>
      <c r="C105" s="65"/>
      <c r="D105" s="65"/>
      <c r="E105" s="65"/>
      <c r="F105" s="65"/>
      <c r="G105" s="66">
        <f t="shared" si="1"/>
        <v>60.84</v>
      </c>
    </row>
    <row r="106" spans="1:7" x14ac:dyDescent="0.25">
      <c r="A106" s="70" t="s">
        <v>403</v>
      </c>
      <c r="B106" s="67">
        <f>((B103)+(B104))+(B105)</f>
        <v>638.02</v>
      </c>
      <c r="C106" s="67">
        <f>((C103)+(C104))+(C105)</f>
        <v>0</v>
      </c>
      <c r="D106" s="67">
        <f>((D103)+(D104))+(D105)</f>
        <v>0</v>
      </c>
      <c r="E106" s="67">
        <f>((E103)+(E104))+(E105)</f>
        <v>0</v>
      </c>
      <c r="F106" s="67">
        <f>((F103)+(F104))+(F105)</f>
        <v>0</v>
      </c>
      <c r="G106" s="67">
        <f t="shared" si="1"/>
        <v>638.02</v>
      </c>
    </row>
    <row r="107" spans="1:7" x14ac:dyDescent="0.25">
      <c r="A107" s="70" t="s">
        <v>404</v>
      </c>
      <c r="B107" s="66">
        <f>1000</f>
        <v>1000</v>
      </c>
      <c r="C107" s="65"/>
      <c r="D107" s="65"/>
      <c r="E107" s="65"/>
      <c r="F107" s="65"/>
      <c r="G107" s="66">
        <f t="shared" si="1"/>
        <v>1000</v>
      </c>
    </row>
    <row r="108" spans="1:7" x14ac:dyDescent="0.25">
      <c r="A108" s="70" t="s">
        <v>405</v>
      </c>
      <c r="B108" s="66">
        <f>1446</f>
        <v>1446</v>
      </c>
      <c r="C108" s="65"/>
      <c r="D108" s="65"/>
      <c r="E108" s="65"/>
      <c r="F108" s="65"/>
      <c r="G108" s="66">
        <f t="shared" si="1"/>
        <v>1446</v>
      </c>
    </row>
    <row r="109" spans="1:7" x14ac:dyDescent="0.25">
      <c r="A109" s="70" t="s">
        <v>406</v>
      </c>
      <c r="B109" s="66">
        <f>1780</f>
        <v>1780</v>
      </c>
      <c r="C109" s="65"/>
      <c r="D109" s="65"/>
      <c r="E109" s="65"/>
      <c r="F109" s="65"/>
      <c r="G109" s="66">
        <f t="shared" si="1"/>
        <v>1780</v>
      </c>
    </row>
    <row r="110" spans="1:7" x14ac:dyDescent="0.25">
      <c r="A110" s="70" t="s">
        <v>407</v>
      </c>
      <c r="B110" s="66">
        <f>395</f>
        <v>395</v>
      </c>
      <c r="C110" s="65"/>
      <c r="D110" s="65"/>
      <c r="E110" s="65"/>
      <c r="F110" s="65"/>
      <c r="G110" s="66">
        <f t="shared" si="1"/>
        <v>395</v>
      </c>
    </row>
    <row r="111" spans="1:7" x14ac:dyDescent="0.25">
      <c r="A111" s="70" t="s">
        <v>408</v>
      </c>
      <c r="B111" s="66">
        <f>163.83</f>
        <v>163.83000000000001</v>
      </c>
      <c r="C111" s="65"/>
      <c r="D111" s="65"/>
      <c r="E111" s="65"/>
      <c r="F111" s="65"/>
      <c r="G111" s="66">
        <f t="shared" si="1"/>
        <v>163.83000000000001</v>
      </c>
    </row>
    <row r="112" spans="1:7" x14ac:dyDescent="0.25">
      <c r="A112" s="70" t="s">
        <v>409</v>
      </c>
      <c r="B112" s="66">
        <f>881.92</f>
        <v>881.92</v>
      </c>
      <c r="C112" s="65"/>
      <c r="D112" s="65"/>
      <c r="E112" s="65"/>
      <c r="F112" s="65"/>
      <c r="G112" s="66">
        <f t="shared" si="1"/>
        <v>881.92</v>
      </c>
    </row>
    <row r="113" spans="1:7" x14ac:dyDescent="0.25">
      <c r="A113" s="70" t="s">
        <v>410</v>
      </c>
      <c r="B113" s="66">
        <f>2188.22</f>
        <v>2188.2199999999998</v>
      </c>
      <c r="C113" s="65"/>
      <c r="D113" s="65"/>
      <c r="E113" s="65"/>
      <c r="F113" s="65"/>
      <c r="G113" s="66">
        <f t="shared" si="1"/>
        <v>2188.2199999999998</v>
      </c>
    </row>
    <row r="114" spans="1:7" x14ac:dyDescent="0.25">
      <c r="A114" s="70" t="s">
        <v>411</v>
      </c>
      <c r="B114" s="66">
        <f>547.02</f>
        <v>547.02</v>
      </c>
      <c r="C114" s="65"/>
      <c r="D114" s="65"/>
      <c r="E114" s="65"/>
      <c r="F114" s="65"/>
      <c r="G114" s="66">
        <f t="shared" si="1"/>
        <v>547.02</v>
      </c>
    </row>
    <row r="115" spans="1:7" x14ac:dyDescent="0.25">
      <c r="A115" s="70" t="s">
        <v>412</v>
      </c>
      <c r="B115" s="65"/>
      <c r="C115" s="65"/>
      <c r="D115" s="65"/>
      <c r="E115" s="65"/>
      <c r="F115" s="65"/>
      <c r="G115" s="66">
        <f t="shared" si="1"/>
        <v>0</v>
      </c>
    </row>
    <row r="116" spans="1:7" x14ac:dyDescent="0.25">
      <c r="A116" s="70" t="s">
        <v>413</v>
      </c>
      <c r="B116" s="66">
        <f>3048.41</f>
        <v>3048.41</v>
      </c>
      <c r="C116" s="65"/>
      <c r="D116" s="65"/>
      <c r="E116" s="65"/>
      <c r="F116" s="65"/>
      <c r="G116" s="66">
        <f t="shared" ref="G116:G179" si="2">((((B116)+(C116))+(D116))+(E116))+(F116)</f>
        <v>3048.41</v>
      </c>
    </row>
    <row r="117" spans="1:7" x14ac:dyDescent="0.25">
      <c r="A117" s="70" t="s">
        <v>414</v>
      </c>
      <c r="B117" s="66">
        <f>156.59</f>
        <v>156.59</v>
      </c>
      <c r="C117" s="65"/>
      <c r="D117" s="65"/>
      <c r="E117" s="65"/>
      <c r="F117" s="65"/>
      <c r="G117" s="66">
        <f t="shared" si="2"/>
        <v>156.59</v>
      </c>
    </row>
    <row r="118" spans="1:7" x14ac:dyDescent="0.25">
      <c r="A118" s="70" t="s">
        <v>415</v>
      </c>
      <c r="B118" s="67">
        <f>((B115)+(B116))+(B117)</f>
        <v>3205</v>
      </c>
      <c r="C118" s="67">
        <f>((C115)+(C116))+(C117)</f>
        <v>0</v>
      </c>
      <c r="D118" s="67">
        <f>((D115)+(D116))+(D117)</f>
        <v>0</v>
      </c>
      <c r="E118" s="67">
        <f>((E115)+(E116))+(E117)</f>
        <v>0</v>
      </c>
      <c r="F118" s="67">
        <f>((F115)+(F116))+(F117)</f>
        <v>0</v>
      </c>
      <c r="G118" s="67">
        <f t="shared" si="2"/>
        <v>3205</v>
      </c>
    </row>
    <row r="119" spans="1:7" x14ac:dyDescent="0.25">
      <c r="A119" s="70" t="s">
        <v>416</v>
      </c>
      <c r="B119" s="65"/>
      <c r="C119" s="65"/>
      <c r="D119" s="65"/>
      <c r="E119" s="65"/>
      <c r="F119" s="65"/>
      <c r="G119" s="66">
        <f t="shared" si="2"/>
        <v>0</v>
      </c>
    </row>
    <row r="120" spans="1:7" x14ac:dyDescent="0.25">
      <c r="A120" s="70" t="s">
        <v>417</v>
      </c>
      <c r="B120" s="66">
        <f>680.7</f>
        <v>680.7</v>
      </c>
      <c r="C120" s="65"/>
      <c r="D120" s="65"/>
      <c r="E120" s="65"/>
      <c r="F120" s="65"/>
      <c r="G120" s="66">
        <f t="shared" si="2"/>
        <v>680.7</v>
      </c>
    </row>
    <row r="121" spans="1:7" x14ac:dyDescent="0.25">
      <c r="A121" s="70" t="s">
        <v>419</v>
      </c>
      <c r="B121" s="67">
        <f>(B119)+(B120)</f>
        <v>680.7</v>
      </c>
      <c r="C121" s="67">
        <f>(C119)+(C120)</f>
        <v>0</v>
      </c>
      <c r="D121" s="67">
        <f>(D119)+(D120)</f>
        <v>0</v>
      </c>
      <c r="E121" s="67">
        <f>(E119)+(E120)</f>
        <v>0</v>
      </c>
      <c r="F121" s="67">
        <f>(F119)+(F120)</f>
        <v>0</v>
      </c>
      <c r="G121" s="67">
        <f t="shared" si="2"/>
        <v>680.7</v>
      </c>
    </row>
    <row r="122" spans="1:7" x14ac:dyDescent="0.25">
      <c r="A122" s="70" t="s">
        <v>420</v>
      </c>
      <c r="B122" s="65"/>
      <c r="C122" s="65"/>
      <c r="D122" s="65"/>
      <c r="E122" s="65"/>
      <c r="F122" s="65"/>
      <c r="G122" s="66">
        <f t="shared" si="2"/>
        <v>0</v>
      </c>
    </row>
    <row r="123" spans="1:7" x14ac:dyDescent="0.25">
      <c r="A123" s="70" t="s">
        <v>421</v>
      </c>
      <c r="B123" s="66">
        <f>460.01</f>
        <v>460.01</v>
      </c>
      <c r="C123" s="65"/>
      <c r="D123" s="65"/>
      <c r="E123" s="65"/>
      <c r="F123" s="65"/>
      <c r="G123" s="66">
        <f t="shared" si="2"/>
        <v>460.01</v>
      </c>
    </row>
    <row r="124" spans="1:7" x14ac:dyDescent="0.25">
      <c r="A124" s="70" t="s">
        <v>422</v>
      </c>
      <c r="B124" s="67">
        <f>(B122)+(B123)</f>
        <v>460.01</v>
      </c>
      <c r="C124" s="67">
        <f>(C122)+(C123)</f>
        <v>0</v>
      </c>
      <c r="D124" s="67">
        <f>(D122)+(D123)</f>
        <v>0</v>
      </c>
      <c r="E124" s="67">
        <f>(E122)+(E123)</f>
        <v>0</v>
      </c>
      <c r="F124" s="67">
        <f>(F122)+(F123)</f>
        <v>0</v>
      </c>
      <c r="G124" s="67">
        <f t="shared" si="2"/>
        <v>460.01</v>
      </c>
    </row>
    <row r="125" spans="1:7" x14ac:dyDescent="0.25">
      <c r="A125" s="70" t="s">
        <v>423</v>
      </c>
      <c r="B125" s="65"/>
      <c r="C125" s="65"/>
      <c r="D125" s="65"/>
      <c r="E125" s="65"/>
      <c r="F125" s="65"/>
      <c r="G125" s="66">
        <f t="shared" si="2"/>
        <v>0</v>
      </c>
    </row>
    <row r="126" spans="1:7" x14ac:dyDescent="0.25">
      <c r="A126" s="70" t="s">
        <v>424</v>
      </c>
      <c r="B126" s="66">
        <f>16276.24</f>
        <v>16276.24</v>
      </c>
      <c r="C126" s="65"/>
      <c r="D126" s="65"/>
      <c r="E126" s="65"/>
      <c r="F126" s="65"/>
      <c r="G126" s="66">
        <f t="shared" si="2"/>
        <v>16276.24</v>
      </c>
    </row>
    <row r="127" spans="1:7" x14ac:dyDescent="0.25">
      <c r="A127" s="70" t="s">
        <v>425</v>
      </c>
      <c r="B127" s="66">
        <f>1699.56</f>
        <v>1699.56</v>
      </c>
      <c r="C127" s="65"/>
      <c r="D127" s="65"/>
      <c r="E127" s="65"/>
      <c r="F127" s="65"/>
      <c r="G127" s="66">
        <f t="shared" si="2"/>
        <v>1699.56</v>
      </c>
    </row>
    <row r="128" spans="1:7" x14ac:dyDescent="0.25">
      <c r="A128" s="70" t="s">
        <v>426</v>
      </c>
      <c r="B128" s="66">
        <f>1950.55</f>
        <v>1950.55</v>
      </c>
      <c r="C128" s="65"/>
      <c r="D128" s="65"/>
      <c r="E128" s="65"/>
      <c r="F128" s="65"/>
      <c r="G128" s="66">
        <f t="shared" si="2"/>
        <v>1950.55</v>
      </c>
    </row>
    <row r="129" spans="1:7" x14ac:dyDescent="0.25">
      <c r="A129" s="70" t="s">
        <v>427</v>
      </c>
      <c r="B129" s="66">
        <f>522.1</f>
        <v>522.1</v>
      </c>
      <c r="C129" s="65"/>
      <c r="D129" s="65"/>
      <c r="E129" s="65"/>
      <c r="F129" s="65"/>
      <c r="G129" s="66">
        <f t="shared" si="2"/>
        <v>522.1</v>
      </c>
    </row>
    <row r="130" spans="1:7" x14ac:dyDescent="0.25">
      <c r="A130" s="70" t="s">
        <v>428</v>
      </c>
      <c r="B130" s="67">
        <f>((((B125)+(B126))+(B127))+(B128))+(B129)</f>
        <v>20448.449999999997</v>
      </c>
      <c r="C130" s="67">
        <f>((((C125)+(C126))+(C127))+(C128))+(C129)</f>
        <v>0</v>
      </c>
      <c r="D130" s="67">
        <f>((((D125)+(D126))+(D127))+(D128))+(D129)</f>
        <v>0</v>
      </c>
      <c r="E130" s="67">
        <f>((((E125)+(E126))+(E127))+(E128))+(E129)</f>
        <v>0</v>
      </c>
      <c r="F130" s="67">
        <f>((((F125)+(F126))+(F127))+(F128))+(F129)</f>
        <v>0</v>
      </c>
      <c r="G130" s="67">
        <f t="shared" si="2"/>
        <v>20448.449999999997</v>
      </c>
    </row>
    <row r="131" spans="1:7" x14ac:dyDescent="0.25">
      <c r="A131" s="70" t="s">
        <v>429</v>
      </c>
      <c r="B131" s="66">
        <f>406.5</f>
        <v>406.5</v>
      </c>
      <c r="C131" s="65"/>
      <c r="D131" s="65"/>
      <c r="E131" s="65"/>
      <c r="F131" s="65"/>
      <c r="G131" s="66">
        <f t="shared" si="2"/>
        <v>406.5</v>
      </c>
    </row>
    <row r="132" spans="1:7" x14ac:dyDescent="0.25">
      <c r="A132" s="70" t="s">
        <v>431</v>
      </c>
      <c r="B132" s="67">
        <f>(((((((((((((((((((((B91)+(B92))+(B93))+(B94))+(B95))+(B96))+(B97))+(B102))+(B106))+(B107))+(B108))+(B109))+(B110))+(B111))+(B112))+(B113))+(B114))+(B118))+(B121))+(B124))+(B130))+(B131)</f>
        <v>47537.539999999994</v>
      </c>
      <c r="C132" s="67">
        <f>(((((((((((((((((((((C91)+(C92))+(C93))+(C94))+(C95))+(C96))+(C97))+(C102))+(C106))+(C107))+(C108))+(C109))+(C110))+(C111))+(C112))+(C113))+(C114))+(C118))+(C121))+(C124))+(C130))+(C131)</f>
        <v>0</v>
      </c>
      <c r="D132" s="67">
        <f>(((((((((((((((((((((D91)+(D92))+(D93))+(D94))+(D95))+(D96))+(D97))+(D102))+(D106))+(D107))+(D108))+(D109))+(D110))+(D111))+(D112))+(D113))+(D114))+(D118))+(D121))+(D124))+(D130))+(D131)</f>
        <v>0</v>
      </c>
      <c r="E132" s="67">
        <f>(((((((((((((((((((((E91)+(E92))+(E93))+(E94))+(E95))+(E96))+(E97))+(E102))+(E106))+(E107))+(E108))+(E109))+(E110))+(E111))+(E112))+(E113))+(E114))+(E118))+(E121))+(E124))+(E130))+(E131)</f>
        <v>0</v>
      </c>
      <c r="F132" s="67">
        <f>(((((((((((((((((((((F91)+(F92))+(F93))+(F94))+(F95))+(F96))+(F97))+(F102))+(F106))+(F107))+(F108))+(F109))+(F110))+(F111))+(F112))+(F113))+(F114))+(F118))+(F121))+(F124))+(F130))+(F131)</f>
        <v>0</v>
      </c>
      <c r="G132" s="67">
        <f t="shared" si="2"/>
        <v>47537.539999999994</v>
      </c>
    </row>
    <row r="133" spans="1:7" x14ac:dyDescent="0.25">
      <c r="A133" s="70" t="s">
        <v>432</v>
      </c>
      <c r="B133" s="65"/>
      <c r="C133" s="65"/>
      <c r="D133" s="65"/>
      <c r="E133" s="65"/>
      <c r="F133" s="65"/>
      <c r="G133" s="66">
        <f t="shared" si="2"/>
        <v>0</v>
      </c>
    </row>
    <row r="134" spans="1:7" x14ac:dyDescent="0.25">
      <c r="A134" s="70" t="s">
        <v>433</v>
      </c>
      <c r="B134" s="65"/>
      <c r="C134" s="65"/>
      <c r="D134" s="65"/>
      <c r="E134" s="65"/>
      <c r="F134" s="65"/>
      <c r="G134" s="66">
        <f t="shared" si="2"/>
        <v>0</v>
      </c>
    </row>
    <row r="135" spans="1:7" x14ac:dyDescent="0.25">
      <c r="A135" s="70" t="s">
        <v>434</v>
      </c>
      <c r="B135" s="66">
        <f>961.5</f>
        <v>961.5</v>
      </c>
      <c r="C135" s="65"/>
      <c r="D135" s="65"/>
      <c r="E135" s="65"/>
      <c r="F135" s="65"/>
      <c r="G135" s="66">
        <f t="shared" si="2"/>
        <v>961.5</v>
      </c>
    </row>
    <row r="136" spans="1:7" x14ac:dyDescent="0.25">
      <c r="A136" s="70" t="s">
        <v>435</v>
      </c>
      <c r="B136" s="66">
        <f>15783.25</f>
        <v>15783.25</v>
      </c>
      <c r="C136" s="65"/>
      <c r="D136" s="65"/>
      <c r="E136" s="65"/>
      <c r="F136" s="65"/>
      <c r="G136" s="66">
        <f t="shared" si="2"/>
        <v>15783.25</v>
      </c>
    </row>
    <row r="137" spans="1:7" x14ac:dyDescent="0.25">
      <c r="A137" s="70" t="s">
        <v>436</v>
      </c>
      <c r="B137" s="67">
        <f>((B134)+(B135))+(B136)</f>
        <v>16744.75</v>
      </c>
      <c r="C137" s="67">
        <f>((C134)+(C135))+(C136)</f>
        <v>0</v>
      </c>
      <c r="D137" s="67">
        <f>((D134)+(D135))+(D136)</f>
        <v>0</v>
      </c>
      <c r="E137" s="67">
        <f>((E134)+(E135))+(E136)</f>
        <v>0</v>
      </c>
      <c r="F137" s="67">
        <f>((F134)+(F135))+(F136)</f>
        <v>0</v>
      </c>
      <c r="G137" s="67">
        <f t="shared" si="2"/>
        <v>16744.75</v>
      </c>
    </row>
    <row r="138" spans="1:7" x14ac:dyDescent="0.25">
      <c r="A138" s="70" t="s">
        <v>437</v>
      </c>
      <c r="B138" s="65"/>
      <c r="C138" s="65"/>
      <c r="D138" s="65"/>
      <c r="E138" s="65"/>
      <c r="F138" s="65"/>
      <c r="G138" s="66">
        <f t="shared" si="2"/>
        <v>0</v>
      </c>
    </row>
    <row r="139" spans="1:7" x14ac:dyDescent="0.25">
      <c r="A139" s="70" t="s">
        <v>438</v>
      </c>
      <c r="B139" s="66">
        <f>3246.15</f>
        <v>3246.15</v>
      </c>
      <c r="C139" s="65"/>
      <c r="D139" s="65"/>
      <c r="E139" s="65"/>
      <c r="F139" s="65"/>
      <c r="G139" s="66">
        <f t="shared" si="2"/>
        <v>3246.15</v>
      </c>
    </row>
    <row r="140" spans="1:7" x14ac:dyDescent="0.25">
      <c r="A140" s="70" t="s">
        <v>439</v>
      </c>
      <c r="B140" s="66">
        <f>2096.67</f>
        <v>2096.67</v>
      </c>
      <c r="C140" s="65"/>
      <c r="D140" s="65"/>
      <c r="E140" s="65"/>
      <c r="F140" s="65"/>
      <c r="G140" s="66">
        <f t="shared" si="2"/>
        <v>2096.67</v>
      </c>
    </row>
    <row r="141" spans="1:7" x14ac:dyDescent="0.25">
      <c r="A141" s="70" t="s">
        <v>440</v>
      </c>
      <c r="B141" s="66">
        <f>2407.41</f>
        <v>2407.41</v>
      </c>
      <c r="C141" s="65"/>
      <c r="D141" s="65"/>
      <c r="E141" s="65"/>
      <c r="F141" s="65"/>
      <c r="G141" s="66">
        <f t="shared" si="2"/>
        <v>2407.41</v>
      </c>
    </row>
    <row r="142" spans="1:7" x14ac:dyDescent="0.25">
      <c r="A142" s="70" t="s">
        <v>441</v>
      </c>
      <c r="B142" s="67">
        <f>(((B138)+(B139))+(B140))+(B141)</f>
        <v>7750.23</v>
      </c>
      <c r="C142" s="67">
        <f>(((C138)+(C139))+(C140))+(C141)</f>
        <v>0</v>
      </c>
      <c r="D142" s="67">
        <f>(((D138)+(D139))+(D140))+(D141)</f>
        <v>0</v>
      </c>
      <c r="E142" s="67">
        <f>(((E138)+(E139))+(E140))+(E141)</f>
        <v>0</v>
      </c>
      <c r="F142" s="67">
        <f>(((F138)+(F139))+(F140))+(F141)</f>
        <v>0</v>
      </c>
      <c r="G142" s="67">
        <f t="shared" si="2"/>
        <v>7750.23</v>
      </c>
    </row>
    <row r="143" spans="1:7" x14ac:dyDescent="0.25">
      <c r="A143" s="70" t="s">
        <v>442</v>
      </c>
      <c r="B143" s="65"/>
      <c r="C143" s="65"/>
      <c r="D143" s="65"/>
      <c r="E143" s="65"/>
      <c r="F143" s="65"/>
      <c r="G143" s="66">
        <f t="shared" si="2"/>
        <v>0</v>
      </c>
    </row>
    <row r="144" spans="1:7" x14ac:dyDescent="0.25">
      <c r="A144" s="70" t="s">
        <v>443</v>
      </c>
      <c r="B144" s="66">
        <f>402.5</f>
        <v>402.5</v>
      </c>
      <c r="C144" s="65"/>
      <c r="D144" s="65"/>
      <c r="E144" s="65"/>
      <c r="F144" s="65"/>
      <c r="G144" s="66">
        <f t="shared" si="2"/>
        <v>402.5</v>
      </c>
    </row>
    <row r="145" spans="1:7" x14ac:dyDescent="0.25">
      <c r="A145" s="70" t="s">
        <v>444</v>
      </c>
      <c r="B145" s="66">
        <f>715.01</f>
        <v>715.01</v>
      </c>
      <c r="C145" s="65"/>
      <c r="D145" s="65"/>
      <c r="E145" s="65"/>
      <c r="F145" s="65"/>
      <c r="G145" s="66">
        <f t="shared" si="2"/>
        <v>715.01</v>
      </c>
    </row>
    <row r="146" spans="1:7" x14ac:dyDescent="0.25">
      <c r="A146" s="70" t="s">
        <v>445</v>
      </c>
      <c r="B146" s="66">
        <f>1088.13</f>
        <v>1088.1300000000001</v>
      </c>
      <c r="C146" s="65"/>
      <c r="D146" s="65"/>
      <c r="E146" s="65"/>
      <c r="F146" s="65"/>
      <c r="G146" s="66">
        <f t="shared" si="2"/>
        <v>1088.1300000000001</v>
      </c>
    </row>
    <row r="147" spans="1:7" x14ac:dyDescent="0.25">
      <c r="A147" s="70" t="s">
        <v>446</v>
      </c>
      <c r="B147" s="66">
        <f>115.14</f>
        <v>115.14</v>
      </c>
      <c r="C147" s="65"/>
      <c r="D147" s="65"/>
      <c r="E147" s="65"/>
      <c r="F147" s="65"/>
      <c r="G147" s="66">
        <f t="shared" si="2"/>
        <v>115.14</v>
      </c>
    </row>
    <row r="148" spans="1:7" x14ac:dyDescent="0.25">
      <c r="A148" s="70" t="s">
        <v>447</v>
      </c>
      <c r="B148" s="66">
        <f>3497.35</f>
        <v>3497.35</v>
      </c>
      <c r="C148" s="65"/>
      <c r="D148" s="65"/>
      <c r="E148" s="65"/>
      <c r="F148" s="65"/>
      <c r="G148" s="66">
        <f t="shared" si="2"/>
        <v>3497.35</v>
      </c>
    </row>
    <row r="149" spans="1:7" x14ac:dyDescent="0.25">
      <c r="A149" s="70" t="s">
        <v>450</v>
      </c>
      <c r="B149" s="67">
        <f>(((((B143)+(B144))+(B145))+(B146))+(B147))+(B148)</f>
        <v>5818.13</v>
      </c>
      <c r="C149" s="67">
        <f>(((((C143)+(C144))+(C145))+(C146))+(C147))+(C148)</f>
        <v>0</v>
      </c>
      <c r="D149" s="67">
        <f>(((((D143)+(D144))+(D145))+(D146))+(D147))+(D148)</f>
        <v>0</v>
      </c>
      <c r="E149" s="67">
        <f>(((((E143)+(E144))+(E145))+(E146))+(E147))+(E148)</f>
        <v>0</v>
      </c>
      <c r="F149" s="67">
        <f>(((((F143)+(F144))+(F145))+(F146))+(F147))+(F148)</f>
        <v>0</v>
      </c>
      <c r="G149" s="67">
        <f t="shared" si="2"/>
        <v>5818.13</v>
      </c>
    </row>
    <row r="150" spans="1:7" x14ac:dyDescent="0.25">
      <c r="A150" s="70" t="s">
        <v>451</v>
      </c>
      <c r="B150" s="65"/>
      <c r="C150" s="65"/>
      <c r="D150" s="65"/>
      <c r="E150" s="65"/>
      <c r="F150" s="65"/>
      <c r="G150" s="66">
        <f t="shared" si="2"/>
        <v>0</v>
      </c>
    </row>
    <row r="151" spans="1:7" x14ac:dyDescent="0.25">
      <c r="A151" s="70" t="s">
        <v>452</v>
      </c>
      <c r="B151" s="66">
        <f>141.66</f>
        <v>141.66</v>
      </c>
      <c r="C151" s="65"/>
      <c r="D151" s="65"/>
      <c r="E151" s="65"/>
      <c r="F151" s="65"/>
      <c r="G151" s="66">
        <f t="shared" si="2"/>
        <v>141.66</v>
      </c>
    </row>
    <row r="152" spans="1:7" x14ac:dyDescent="0.25">
      <c r="A152" s="70" t="s">
        <v>453</v>
      </c>
      <c r="B152" s="66">
        <f>184.99</f>
        <v>184.99</v>
      </c>
      <c r="C152" s="65"/>
      <c r="D152" s="65"/>
      <c r="E152" s="65"/>
      <c r="F152" s="65"/>
      <c r="G152" s="66">
        <f t="shared" si="2"/>
        <v>184.99</v>
      </c>
    </row>
    <row r="153" spans="1:7" x14ac:dyDescent="0.25">
      <c r="A153" s="70" t="s">
        <v>454</v>
      </c>
      <c r="B153" s="66">
        <f>2000</f>
        <v>2000</v>
      </c>
      <c r="C153" s="65"/>
      <c r="D153" s="65"/>
      <c r="E153" s="65"/>
      <c r="F153" s="65"/>
      <c r="G153" s="66">
        <f t="shared" si="2"/>
        <v>2000</v>
      </c>
    </row>
    <row r="154" spans="1:7" x14ac:dyDescent="0.25">
      <c r="A154" s="70" t="s">
        <v>455</v>
      </c>
      <c r="B154" s="66">
        <f>2300</f>
        <v>2300</v>
      </c>
      <c r="C154" s="65"/>
      <c r="D154" s="65"/>
      <c r="E154" s="65"/>
      <c r="F154" s="65"/>
      <c r="G154" s="66">
        <f t="shared" si="2"/>
        <v>2300</v>
      </c>
    </row>
    <row r="155" spans="1:7" x14ac:dyDescent="0.25">
      <c r="A155" s="70" t="s">
        <v>456</v>
      </c>
      <c r="B155" s="66">
        <f>633.11</f>
        <v>633.11</v>
      </c>
      <c r="C155" s="65"/>
      <c r="D155" s="65"/>
      <c r="E155" s="65"/>
      <c r="F155" s="65"/>
      <c r="G155" s="66">
        <f t="shared" si="2"/>
        <v>633.11</v>
      </c>
    </row>
    <row r="156" spans="1:7" x14ac:dyDescent="0.25">
      <c r="A156" s="70" t="s">
        <v>457</v>
      </c>
      <c r="B156" s="66">
        <f>477.5</f>
        <v>477.5</v>
      </c>
      <c r="C156" s="65"/>
      <c r="D156" s="65"/>
      <c r="E156" s="65"/>
      <c r="F156" s="65"/>
      <c r="G156" s="66">
        <f t="shared" si="2"/>
        <v>477.5</v>
      </c>
    </row>
    <row r="157" spans="1:7" x14ac:dyDescent="0.25">
      <c r="A157" s="70" t="s">
        <v>458</v>
      </c>
      <c r="B157" s="66">
        <f>3611.81</f>
        <v>3611.81</v>
      </c>
      <c r="C157" s="65"/>
      <c r="D157" s="65"/>
      <c r="E157" s="65"/>
      <c r="F157" s="65"/>
      <c r="G157" s="66">
        <f t="shared" si="2"/>
        <v>3611.81</v>
      </c>
    </row>
    <row r="158" spans="1:7" x14ac:dyDescent="0.25">
      <c r="A158" s="70" t="s">
        <v>459</v>
      </c>
      <c r="B158" s="66">
        <f>3886.58</f>
        <v>3886.58</v>
      </c>
      <c r="C158" s="65"/>
      <c r="D158" s="65"/>
      <c r="E158" s="65"/>
      <c r="F158" s="65"/>
      <c r="G158" s="66">
        <f t="shared" si="2"/>
        <v>3886.58</v>
      </c>
    </row>
    <row r="159" spans="1:7" x14ac:dyDescent="0.25">
      <c r="A159" s="70" t="s">
        <v>461</v>
      </c>
      <c r="B159" s="66">
        <f>78.79</f>
        <v>78.790000000000006</v>
      </c>
      <c r="C159" s="65"/>
      <c r="D159" s="65"/>
      <c r="E159" s="65"/>
      <c r="F159" s="65"/>
      <c r="G159" s="66">
        <f t="shared" si="2"/>
        <v>78.790000000000006</v>
      </c>
    </row>
    <row r="160" spans="1:7" x14ac:dyDescent="0.25">
      <c r="A160" s="70" t="s">
        <v>492</v>
      </c>
      <c r="B160" s="66">
        <f>510</f>
        <v>510</v>
      </c>
      <c r="C160" s="65"/>
      <c r="D160" s="65"/>
      <c r="E160" s="65"/>
      <c r="F160" s="65"/>
      <c r="G160" s="66">
        <f t="shared" si="2"/>
        <v>510</v>
      </c>
    </row>
    <row r="161" spans="1:7" x14ac:dyDescent="0.25">
      <c r="A161" s="70" t="s">
        <v>462</v>
      </c>
      <c r="B161" s="67">
        <f>((((((((((B150)+(B151))+(B152))+(B153))+(B154))+(B155))+(B156))+(B157))+(B158))+(B159))+(B160)</f>
        <v>13824.44</v>
      </c>
      <c r="C161" s="67">
        <f>((((((((((C150)+(C151))+(C152))+(C153))+(C154))+(C155))+(C156))+(C157))+(C158))+(C159))+(C160)</f>
        <v>0</v>
      </c>
      <c r="D161" s="67">
        <f>((((((((((D150)+(D151))+(D152))+(D153))+(D154))+(D155))+(D156))+(D157))+(D158))+(D159))+(D160)</f>
        <v>0</v>
      </c>
      <c r="E161" s="67">
        <f>((((((((((E150)+(E151))+(E152))+(E153))+(E154))+(E155))+(E156))+(E157))+(E158))+(E159))+(E160)</f>
        <v>0</v>
      </c>
      <c r="F161" s="67">
        <f>((((((((((F150)+(F151))+(F152))+(F153))+(F154))+(F155))+(F156))+(F157))+(F158))+(F159))+(F160)</f>
        <v>0</v>
      </c>
      <c r="G161" s="67">
        <f t="shared" si="2"/>
        <v>13824.44</v>
      </c>
    </row>
    <row r="162" spans="1:7" x14ac:dyDescent="0.25">
      <c r="A162" s="70" t="s">
        <v>463</v>
      </c>
      <c r="B162" s="67">
        <f>((((B133)+(B137))+(B142))+(B149))+(B161)</f>
        <v>44137.55</v>
      </c>
      <c r="C162" s="67">
        <f>((((C133)+(C137))+(C142))+(C149))+(C161)</f>
        <v>0</v>
      </c>
      <c r="D162" s="67">
        <f>((((D133)+(D137))+(D142))+(D149))+(D161)</f>
        <v>0</v>
      </c>
      <c r="E162" s="67">
        <f>((((E133)+(E137))+(E142))+(E149))+(E161)</f>
        <v>0</v>
      </c>
      <c r="F162" s="67">
        <f>((((F133)+(F137))+(F142))+(F149))+(F161)</f>
        <v>0</v>
      </c>
      <c r="G162" s="67">
        <f t="shared" si="2"/>
        <v>44137.55</v>
      </c>
    </row>
    <row r="163" spans="1:7" x14ac:dyDescent="0.25">
      <c r="A163" s="70" t="s">
        <v>464</v>
      </c>
      <c r="B163" s="67">
        <f>(((((B52)+(B69))+(B82))+(B90))+(B132))+(B162)</f>
        <v>336975.44999999995</v>
      </c>
      <c r="C163" s="67">
        <f>(((((C52)+(C69))+(C82))+(C90))+(C132))+(C162)</f>
        <v>0</v>
      </c>
      <c r="D163" s="67">
        <f>(((((D52)+(D69))+(D82))+(D90))+(D132))+(D162)</f>
        <v>0</v>
      </c>
      <c r="E163" s="67">
        <f>(((((E52)+(E69))+(E82))+(E90))+(E132))+(E162)</f>
        <v>0</v>
      </c>
      <c r="F163" s="67">
        <f>(((((F52)+(F69))+(F82))+(F90))+(F132))+(F162)</f>
        <v>0</v>
      </c>
      <c r="G163" s="67">
        <f t="shared" si="2"/>
        <v>336975.44999999995</v>
      </c>
    </row>
    <row r="164" spans="1:7" x14ac:dyDescent="0.25">
      <c r="A164" s="70" t="s">
        <v>225</v>
      </c>
      <c r="B164" s="65"/>
      <c r="C164" s="65"/>
      <c r="D164" s="65"/>
      <c r="E164" s="65"/>
      <c r="F164" s="65"/>
      <c r="G164" s="66">
        <f t="shared" si="2"/>
        <v>0</v>
      </c>
    </row>
    <row r="165" spans="1:7" x14ac:dyDescent="0.25">
      <c r="A165" s="70" t="s">
        <v>226</v>
      </c>
      <c r="B165" s="65"/>
      <c r="C165" s="65"/>
      <c r="D165" s="65"/>
      <c r="E165" s="65"/>
      <c r="F165" s="65"/>
      <c r="G165" s="66">
        <f t="shared" si="2"/>
        <v>0</v>
      </c>
    </row>
    <row r="166" spans="1:7" x14ac:dyDescent="0.25">
      <c r="A166" s="70" t="s">
        <v>227</v>
      </c>
      <c r="B166" s="65"/>
      <c r="C166" s="65"/>
      <c r="D166" s="65"/>
      <c r="E166" s="65"/>
      <c r="F166" s="65"/>
      <c r="G166" s="66">
        <f t="shared" si="2"/>
        <v>0</v>
      </c>
    </row>
    <row r="167" spans="1:7" x14ac:dyDescent="0.25">
      <c r="A167" s="70" t="s">
        <v>228</v>
      </c>
      <c r="B167" s="65"/>
      <c r="C167" s="65"/>
      <c r="D167" s="65"/>
      <c r="E167" s="65"/>
      <c r="F167" s="65"/>
      <c r="G167" s="66">
        <f t="shared" si="2"/>
        <v>0</v>
      </c>
    </row>
    <row r="168" spans="1:7" x14ac:dyDescent="0.25">
      <c r="A168" s="70" t="s">
        <v>229</v>
      </c>
      <c r="B168" s="65"/>
      <c r="C168" s="65"/>
      <c r="D168" s="65"/>
      <c r="E168" s="66">
        <f>35193.52</f>
        <v>35193.519999999997</v>
      </c>
      <c r="F168" s="65"/>
      <c r="G168" s="66">
        <f t="shared" si="2"/>
        <v>35193.519999999997</v>
      </c>
    </row>
    <row r="169" spans="1:7" x14ac:dyDescent="0.25">
      <c r="A169" s="70" t="s">
        <v>493</v>
      </c>
      <c r="B169" s="65"/>
      <c r="C169" s="65"/>
      <c r="D169" s="65"/>
      <c r="E169" s="66">
        <f>534.65</f>
        <v>534.65</v>
      </c>
      <c r="F169" s="65"/>
      <c r="G169" s="66">
        <f t="shared" si="2"/>
        <v>534.65</v>
      </c>
    </row>
    <row r="170" spans="1:7" x14ac:dyDescent="0.25">
      <c r="A170" s="70" t="s">
        <v>494</v>
      </c>
      <c r="B170" s="65"/>
      <c r="C170" s="65"/>
      <c r="D170" s="65"/>
      <c r="E170" s="66">
        <f>-45.38</f>
        <v>-45.38</v>
      </c>
      <c r="F170" s="65"/>
      <c r="G170" s="66">
        <f t="shared" si="2"/>
        <v>-45.38</v>
      </c>
    </row>
    <row r="171" spans="1:7" x14ac:dyDescent="0.25">
      <c r="A171" s="70" t="s">
        <v>495</v>
      </c>
      <c r="B171" s="65"/>
      <c r="C171" s="65"/>
      <c r="D171" s="65"/>
      <c r="E171" s="66">
        <f>20275.2</f>
        <v>20275.2</v>
      </c>
      <c r="F171" s="65"/>
      <c r="G171" s="66">
        <f t="shared" si="2"/>
        <v>20275.2</v>
      </c>
    </row>
    <row r="172" spans="1:7" x14ac:dyDescent="0.25">
      <c r="A172" s="70" t="s">
        <v>496</v>
      </c>
      <c r="B172" s="65"/>
      <c r="C172" s="65"/>
      <c r="D172" s="65"/>
      <c r="E172" s="66">
        <f>847.88</f>
        <v>847.88</v>
      </c>
      <c r="F172" s="65"/>
      <c r="G172" s="66">
        <f t="shared" si="2"/>
        <v>847.88</v>
      </c>
    </row>
    <row r="173" spans="1:7" x14ac:dyDescent="0.25">
      <c r="A173" s="70" t="s">
        <v>497</v>
      </c>
      <c r="B173" s="65"/>
      <c r="C173" s="65"/>
      <c r="D173" s="65"/>
      <c r="E173" s="66">
        <f>12414.95</f>
        <v>12414.95</v>
      </c>
      <c r="F173" s="65"/>
      <c r="G173" s="66">
        <f t="shared" si="2"/>
        <v>12414.95</v>
      </c>
    </row>
    <row r="174" spans="1:7" x14ac:dyDescent="0.25">
      <c r="A174" s="70" t="s">
        <v>498</v>
      </c>
      <c r="B174" s="65"/>
      <c r="C174" s="65"/>
      <c r="D174" s="65"/>
      <c r="E174" s="66">
        <f>85.47</f>
        <v>85.47</v>
      </c>
      <c r="F174" s="65"/>
      <c r="G174" s="66">
        <f t="shared" si="2"/>
        <v>85.47</v>
      </c>
    </row>
    <row r="175" spans="1:7" x14ac:dyDescent="0.25">
      <c r="A175" s="70" t="s">
        <v>237</v>
      </c>
      <c r="B175" s="67">
        <f>(((((((B167)+(B168))+(B169))+(B170))+(B171))+(B172))+(B173))+(B174)</f>
        <v>0</v>
      </c>
      <c r="C175" s="67">
        <f>(((((((C167)+(C168))+(C169))+(C170))+(C171))+(C172))+(C173))+(C174)</f>
        <v>0</v>
      </c>
      <c r="D175" s="67">
        <f>(((((((D167)+(D168))+(D169))+(D170))+(D171))+(D172))+(D173))+(D174)</f>
        <v>0</v>
      </c>
      <c r="E175" s="67">
        <f>(((((((E167)+(E168))+(E169))+(E170))+(E171))+(E172))+(E173))+(E174)</f>
        <v>69306.290000000008</v>
      </c>
      <c r="F175" s="67">
        <f>(((((((F167)+(F168))+(F169))+(F170))+(F171))+(F172))+(F173))+(F174)</f>
        <v>0</v>
      </c>
      <c r="G175" s="67">
        <f t="shared" si="2"/>
        <v>69306.290000000008</v>
      </c>
    </row>
    <row r="176" spans="1:7" x14ac:dyDescent="0.25">
      <c r="A176" s="70" t="s">
        <v>238</v>
      </c>
      <c r="B176" s="67">
        <f>(B166)+(B175)</f>
        <v>0</v>
      </c>
      <c r="C176" s="67">
        <f>(C166)+(C175)</f>
        <v>0</v>
      </c>
      <c r="D176" s="67">
        <f>(D166)+(D175)</f>
        <v>0</v>
      </c>
      <c r="E176" s="67">
        <f>(E166)+(E175)</f>
        <v>69306.290000000008</v>
      </c>
      <c r="F176" s="67">
        <f>(F166)+(F175)</f>
        <v>0</v>
      </c>
      <c r="G176" s="67">
        <f t="shared" si="2"/>
        <v>69306.290000000008</v>
      </c>
    </row>
    <row r="177" spans="1:7" x14ac:dyDescent="0.25">
      <c r="A177" s="70" t="s">
        <v>239</v>
      </c>
      <c r="B177" s="65"/>
      <c r="C177" s="65"/>
      <c r="D177" s="65"/>
      <c r="E177" s="65"/>
      <c r="F177" s="65"/>
      <c r="G177" s="66">
        <f t="shared" si="2"/>
        <v>0</v>
      </c>
    </row>
    <row r="178" spans="1:7" x14ac:dyDescent="0.25">
      <c r="A178" s="70" t="s">
        <v>240</v>
      </c>
      <c r="B178" s="65"/>
      <c r="C178" s="65"/>
      <c r="D178" s="65"/>
      <c r="E178" s="66">
        <f>13969.64</f>
        <v>13969.64</v>
      </c>
      <c r="F178" s="65"/>
      <c r="G178" s="66">
        <f t="shared" si="2"/>
        <v>13969.64</v>
      </c>
    </row>
    <row r="179" spans="1:7" x14ac:dyDescent="0.25">
      <c r="A179" s="70" t="s">
        <v>499</v>
      </c>
      <c r="B179" s="65"/>
      <c r="C179" s="65"/>
      <c r="D179" s="65"/>
      <c r="E179" s="66">
        <f>365.05</f>
        <v>365.05</v>
      </c>
      <c r="F179" s="65"/>
      <c r="G179" s="66">
        <f t="shared" si="2"/>
        <v>365.05</v>
      </c>
    </row>
    <row r="180" spans="1:7" x14ac:dyDescent="0.25">
      <c r="A180" s="70" t="s">
        <v>500</v>
      </c>
      <c r="B180" s="65"/>
      <c r="C180" s="65"/>
      <c r="D180" s="65"/>
      <c r="E180" s="66">
        <f>1381.63</f>
        <v>1381.63</v>
      </c>
      <c r="F180" s="65"/>
      <c r="G180" s="66">
        <f t="shared" ref="G180:G242" si="3">((((B180)+(C180))+(D180))+(E180))+(F180)</f>
        <v>1381.63</v>
      </c>
    </row>
    <row r="181" spans="1:7" x14ac:dyDescent="0.25">
      <c r="A181" s="70" t="s">
        <v>243</v>
      </c>
      <c r="B181" s="65"/>
      <c r="C181" s="65"/>
      <c r="D181" s="65"/>
      <c r="E181" s="66">
        <f>29.25</f>
        <v>29.25</v>
      </c>
      <c r="F181" s="65"/>
      <c r="G181" s="66">
        <f t="shared" si="3"/>
        <v>29.25</v>
      </c>
    </row>
    <row r="182" spans="1:7" x14ac:dyDescent="0.25">
      <c r="A182" s="70" t="s">
        <v>244</v>
      </c>
      <c r="B182" s="67">
        <f>((((B177)+(B178))+(B179))+(B180))+(B181)</f>
        <v>0</v>
      </c>
      <c r="C182" s="67">
        <f>((((C177)+(C178))+(C179))+(C180))+(C181)</f>
        <v>0</v>
      </c>
      <c r="D182" s="67">
        <f>((((D177)+(D178))+(D179))+(D180))+(D181)</f>
        <v>0</v>
      </c>
      <c r="E182" s="67">
        <f>((((E177)+(E178))+(E179))+(E180))+(E181)</f>
        <v>15745.57</v>
      </c>
      <c r="F182" s="67">
        <f>((((F177)+(F178))+(F179))+(F180))+(F181)</f>
        <v>0</v>
      </c>
      <c r="G182" s="67">
        <f t="shared" si="3"/>
        <v>15745.57</v>
      </c>
    </row>
    <row r="183" spans="1:7" x14ac:dyDescent="0.25">
      <c r="A183" s="70" t="s">
        <v>245</v>
      </c>
      <c r="B183" s="65"/>
      <c r="C183" s="65"/>
      <c r="D183" s="65"/>
      <c r="E183" s="65"/>
      <c r="F183" s="65"/>
      <c r="G183" s="66">
        <f t="shared" si="3"/>
        <v>0</v>
      </c>
    </row>
    <row r="184" spans="1:7" x14ac:dyDescent="0.25">
      <c r="A184" s="70" t="s">
        <v>501</v>
      </c>
      <c r="B184" s="65"/>
      <c r="C184" s="65"/>
      <c r="D184" s="65"/>
      <c r="E184" s="66">
        <f>16740</f>
        <v>16740</v>
      </c>
      <c r="F184" s="65"/>
      <c r="G184" s="66">
        <f t="shared" si="3"/>
        <v>16740</v>
      </c>
    </row>
    <row r="185" spans="1:7" x14ac:dyDescent="0.25">
      <c r="A185" s="70" t="s">
        <v>502</v>
      </c>
      <c r="B185" s="65"/>
      <c r="C185" s="65"/>
      <c r="D185" s="65"/>
      <c r="E185" s="66">
        <f>1252.55</f>
        <v>1252.55</v>
      </c>
      <c r="F185" s="65"/>
      <c r="G185" s="66">
        <f t="shared" si="3"/>
        <v>1252.55</v>
      </c>
    </row>
    <row r="186" spans="1:7" x14ac:dyDescent="0.25">
      <c r="A186" s="70" t="s">
        <v>503</v>
      </c>
      <c r="B186" s="65"/>
      <c r="C186" s="65"/>
      <c r="D186" s="65"/>
      <c r="E186" s="66">
        <f>5460.66</f>
        <v>5460.66</v>
      </c>
      <c r="F186" s="65"/>
      <c r="G186" s="66">
        <f t="shared" si="3"/>
        <v>5460.66</v>
      </c>
    </row>
    <row r="187" spans="1:7" x14ac:dyDescent="0.25">
      <c r="A187" s="70" t="s">
        <v>504</v>
      </c>
      <c r="B187" s="65"/>
      <c r="C187" s="65"/>
      <c r="D187" s="65"/>
      <c r="E187" s="66">
        <f>159.17</f>
        <v>159.16999999999999</v>
      </c>
      <c r="F187" s="65"/>
      <c r="G187" s="66">
        <f t="shared" si="3"/>
        <v>159.16999999999999</v>
      </c>
    </row>
    <row r="188" spans="1:7" x14ac:dyDescent="0.25">
      <c r="A188" s="70" t="s">
        <v>505</v>
      </c>
      <c r="B188" s="65"/>
      <c r="C188" s="65"/>
      <c r="D188" s="65"/>
      <c r="E188" s="66">
        <f>710.09</f>
        <v>710.09</v>
      </c>
      <c r="F188" s="65"/>
      <c r="G188" s="66">
        <f t="shared" si="3"/>
        <v>710.09</v>
      </c>
    </row>
    <row r="189" spans="1:7" x14ac:dyDescent="0.25">
      <c r="A189" s="70" t="s">
        <v>250</v>
      </c>
      <c r="B189" s="65"/>
      <c r="C189" s="65"/>
      <c r="D189" s="65"/>
      <c r="E189" s="66">
        <f>762.03</f>
        <v>762.03</v>
      </c>
      <c r="F189" s="65"/>
      <c r="G189" s="66">
        <f t="shared" si="3"/>
        <v>762.03</v>
      </c>
    </row>
    <row r="190" spans="1:7" x14ac:dyDescent="0.25">
      <c r="A190" s="70" t="s">
        <v>506</v>
      </c>
      <c r="B190" s="67">
        <f>((((((B183)+(B184))+(B185))+(B186))+(B187))+(B188))+(B189)</f>
        <v>0</v>
      </c>
      <c r="C190" s="67">
        <f>((((((C183)+(C184))+(C185))+(C186))+(C187))+(C188))+(C189)</f>
        <v>0</v>
      </c>
      <c r="D190" s="67">
        <f>((((((D183)+(D184))+(D185))+(D186))+(D187))+(D188))+(D189)</f>
        <v>0</v>
      </c>
      <c r="E190" s="67">
        <f>((((((E183)+(E184))+(E185))+(E186))+(E187))+(E188))+(E189)</f>
        <v>25084.499999999996</v>
      </c>
      <c r="F190" s="67">
        <f>((((((F183)+(F184))+(F185))+(F186))+(F187))+(F188))+(F189)</f>
        <v>0</v>
      </c>
      <c r="G190" s="67">
        <f t="shared" si="3"/>
        <v>25084.499999999996</v>
      </c>
    </row>
    <row r="191" spans="1:7" x14ac:dyDescent="0.25">
      <c r="A191" s="70" t="s">
        <v>252</v>
      </c>
      <c r="B191" s="65"/>
      <c r="C191" s="65"/>
      <c r="D191" s="65"/>
      <c r="E191" s="65"/>
      <c r="F191" s="65"/>
      <c r="G191" s="66">
        <f t="shared" si="3"/>
        <v>0</v>
      </c>
    </row>
    <row r="192" spans="1:7" x14ac:dyDescent="0.25">
      <c r="A192" s="70" t="s">
        <v>253</v>
      </c>
      <c r="B192" s="65"/>
      <c r="C192" s="65"/>
      <c r="D192" s="65"/>
      <c r="E192" s="66">
        <f>616.94</f>
        <v>616.94000000000005</v>
      </c>
      <c r="F192" s="65"/>
      <c r="G192" s="66">
        <f t="shared" si="3"/>
        <v>616.94000000000005</v>
      </c>
    </row>
    <row r="193" spans="1:7" x14ac:dyDescent="0.25">
      <c r="A193" s="70" t="s">
        <v>254</v>
      </c>
      <c r="B193" s="65"/>
      <c r="C193" s="65"/>
      <c r="D193" s="65"/>
      <c r="E193" s="66">
        <f>1698.38</f>
        <v>1698.38</v>
      </c>
      <c r="F193" s="65"/>
      <c r="G193" s="66">
        <f t="shared" si="3"/>
        <v>1698.38</v>
      </c>
    </row>
    <row r="194" spans="1:7" x14ac:dyDescent="0.25">
      <c r="A194" s="70" t="s">
        <v>256</v>
      </c>
      <c r="B194" s="67">
        <f>((B191)+(B192))+(B193)</f>
        <v>0</v>
      </c>
      <c r="C194" s="67">
        <f>((C191)+(C192))+(C193)</f>
        <v>0</v>
      </c>
      <c r="D194" s="67">
        <f>((D191)+(D192))+(D193)</f>
        <v>0</v>
      </c>
      <c r="E194" s="67">
        <f>((E191)+(E192))+(E193)</f>
        <v>2315.3200000000002</v>
      </c>
      <c r="F194" s="67">
        <f>((F191)+(F192))+(F193)</f>
        <v>0</v>
      </c>
      <c r="G194" s="67">
        <f t="shared" si="3"/>
        <v>2315.3200000000002</v>
      </c>
    </row>
    <row r="195" spans="1:7" x14ac:dyDescent="0.25">
      <c r="A195" s="70" t="s">
        <v>257</v>
      </c>
      <c r="B195" s="67">
        <f>((((B165)+(B176))+(B182))+(B190))+(B194)</f>
        <v>0</v>
      </c>
      <c r="C195" s="67">
        <f>((((C165)+(C176))+(C182))+(C190))+(C194)</f>
        <v>0</v>
      </c>
      <c r="D195" s="67">
        <f>((((D165)+(D176))+(D182))+(D190))+(D194)</f>
        <v>0</v>
      </c>
      <c r="E195" s="67">
        <f>((((E165)+(E176))+(E182))+(E190))+(E194)</f>
        <v>112451.68000000002</v>
      </c>
      <c r="F195" s="67">
        <f>((((F165)+(F176))+(F182))+(F190))+(F194)</f>
        <v>0</v>
      </c>
      <c r="G195" s="67">
        <f t="shared" si="3"/>
        <v>112451.68000000002</v>
      </c>
    </row>
    <row r="196" spans="1:7" x14ac:dyDescent="0.25">
      <c r="A196" s="70" t="s">
        <v>258</v>
      </c>
      <c r="B196" s="65"/>
      <c r="C196" s="65"/>
      <c r="D196" s="65"/>
      <c r="E196" s="65"/>
      <c r="F196" s="65"/>
      <c r="G196" s="66">
        <f t="shared" si="3"/>
        <v>0</v>
      </c>
    </row>
    <row r="197" spans="1:7" x14ac:dyDescent="0.25">
      <c r="A197" s="70" t="s">
        <v>262</v>
      </c>
      <c r="B197" s="65"/>
      <c r="C197" s="65"/>
      <c r="D197" s="66">
        <f>57350</f>
        <v>57350</v>
      </c>
      <c r="E197" s="66">
        <f>1000</f>
        <v>1000</v>
      </c>
      <c r="F197" s="65"/>
      <c r="G197" s="66">
        <f t="shared" si="3"/>
        <v>58350</v>
      </c>
    </row>
    <row r="198" spans="1:7" x14ac:dyDescent="0.25">
      <c r="A198" s="70" t="s">
        <v>264</v>
      </c>
      <c r="B198" s="65"/>
      <c r="C198" s="65"/>
      <c r="D198" s="66">
        <f>90000</f>
        <v>90000</v>
      </c>
      <c r="E198" s="65"/>
      <c r="F198" s="65"/>
      <c r="G198" s="66">
        <f t="shared" si="3"/>
        <v>90000</v>
      </c>
    </row>
    <row r="199" spans="1:7" x14ac:dyDescent="0.25">
      <c r="A199" s="70" t="s">
        <v>266</v>
      </c>
      <c r="B199" s="65"/>
      <c r="C199" s="65"/>
      <c r="D199" s="65"/>
      <c r="E199" s="65"/>
      <c r="F199" s="65"/>
      <c r="G199" s="66">
        <f t="shared" si="3"/>
        <v>0</v>
      </c>
    </row>
    <row r="200" spans="1:7" x14ac:dyDescent="0.25">
      <c r="A200" s="70" t="s">
        <v>267</v>
      </c>
      <c r="B200" s="65"/>
      <c r="C200" s="65"/>
      <c r="D200" s="66">
        <f>750</f>
        <v>750</v>
      </c>
      <c r="E200" s="65"/>
      <c r="F200" s="65"/>
      <c r="G200" s="66">
        <f t="shared" si="3"/>
        <v>750</v>
      </c>
    </row>
    <row r="201" spans="1:7" x14ac:dyDescent="0.25">
      <c r="A201" s="70" t="s">
        <v>268</v>
      </c>
      <c r="B201" s="65"/>
      <c r="C201" s="65"/>
      <c r="D201" s="66">
        <f>45.34</f>
        <v>45.34</v>
      </c>
      <c r="E201" s="65"/>
      <c r="F201" s="65"/>
      <c r="G201" s="66">
        <f t="shared" si="3"/>
        <v>45.34</v>
      </c>
    </row>
    <row r="202" spans="1:7" x14ac:dyDescent="0.25">
      <c r="A202" s="70" t="s">
        <v>269</v>
      </c>
      <c r="B202" s="65"/>
      <c r="C202" s="65"/>
      <c r="D202" s="66">
        <f>85</f>
        <v>85</v>
      </c>
      <c r="E202" s="65"/>
      <c r="F202" s="65"/>
      <c r="G202" s="66">
        <f t="shared" si="3"/>
        <v>85</v>
      </c>
    </row>
    <row r="203" spans="1:7" x14ac:dyDescent="0.25">
      <c r="A203" s="70" t="s">
        <v>270</v>
      </c>
      <c r="B203" s="67">
        <f>(((B199)+(B200))+(B201))+(B202)</f>
        <v>0</v>
      </c>
      <c r="C203" s="67">
        <f>(((C199)+(C200))+(C201))+(C202)</f>
        <v>0</v>
      </c>
      <c r="D203" s="67">
        <f>(((D199)+(D200))+(D201))+(D202)</f>
        <v>880.34</v>
      </c>
      <c r="E203" s="67">
        <f>(((E199)+(E200))+(E201))+(E202)</f>
        <v>0</v>
      </c>
      <c r="F203" s="67">
        <f>(((F199)+(F200))+(F201))+(F202)</f>
        <v>0</v>
      </c>
      <c r="G203" s="67">
        <f t="shared" si="3"/>
        <v>880.34</v>
      </c>
    </row>
    <row r="204" spans="1:7" x14ac:dyDescent="0.25">
      <c r="A204" s="70" t="s">
        <v>271</v>
      </c>
      <c r="B204" s="67">
        <f>(((B196)+(B197))+(B198))+(B203)</f>
        <v>0</v>
      </c>
      <c r="C204" s="67">
        <f>(((C196)+(C197))+(C198))+(C203)</f>
        <v>0</v>
      </c>
      <c r="D204" s="67">
        <f>(((D196)+(D197))+(D198))+(D203)</f>
        <v>148230.34</v>
      </c>
      <c r="E204" s="67">
        <f>(((E196)+(E197))+(E198))+(E203)</f>
        <v>1000</v>
      </c>
      <c r="F204" s="67">
        <f>(((F196)+(F197))+(F198))+(F203)</f>
        <v>0</v>
      </c>
      <c r="G204" s="67">
        <f t="shared" si="3"/>
        <v>149230.34</v>
      </c>
    </row>
    <row r="205" spans="1:7" x14ac:dyDescent="0.25">
      <c r="A205" s="70" t="s">
        <v>272</v>
      </c>
      <c r="B205" s="65"/>
      <c r="C205" s="65"/>
      <c r="D205" s="65"/>
      <c r="E205" s="65"/>
      <c r="F205" s="65"/>
      <c r="G205" s="66">
        <f t="shared" si="3"/>
        <v>0</v>
      </c>
    </row>
    <row r="206" spans="1:7" x14ac:dyDescent="0.25">
      <c r="A206" s="70" t="s">
        <v>273</v>
      </c>
      <c r="B206" s="65"/>
      <c r="C206" s="65"/>
      <c r="D206" s="65"/>
      <c r="E206" s="65"/>
      <c r="F206" s="65"/>
      <c r="G206" s="66">
        <f t="shared" si="3"/>
        <v>0</v>
      </c>
    </row>
    <row r="207" spans="1:7" x14ac:dyDescent="0.25">
      <c r="A207" s="70" t="s">
        <v>276</v>
      </c>
      <c r="B207" s="65"/>
      <c r="C207" s="65"/>
      <c r="D207" s="65"/>
      <c r="E207" s="66">
        <f>821.53</f>
        <v>821.53</v>
      </c>
      <c r="F207" s="65"/>
      <c r="G207" s="66">
        <f t="shared" si="3"/>
        <v>821.53</v>
      </c>
    </row>
    <row r="208" spans="1:7" x14ac:dyDescent="0.25">
      <c r="A208" s="70" t="s">
        <v>277</v>
      </c>
      <c r="B208" s="65"/>
      <c r="C208" s="65"/>
      <c r="D208" s="65"/>
      <c r="E208" s="66">
        <f>408.95</f>
        <v>408.95</v>
      </c>
      <c r="F208" s="65"/>
      <c r="G208" s="66">
        <f t="shared" si="3"/>
        <v>408.95</v>
      </c>
    </row>
    <row r="209" spans="1:7" x14ac:dyDescent="0.25">
      <c r="A209" s="70" t="s">
        <v>278</v>
      </c>
      <c r="B209" s="65"/>
      <c r="C209" s="65"/>
      <c r="D209" s="65"/>
      <c r="E209" s="66">
        <f>618</f>
        <v>618</v>
      </c>
      <c r="F209" s="65"/>
      <c r="G209" s="66">
        <f t="shared" si="3"/>
        <v>618</v>
      </c>
    </row>
    <row r="210" spans="1:7" x14ac:dyDescent="0.25">
      <c r="A210" s="70" t="s">
        <v>280</v>
      </c>
      <c r="B210" s="65"/>
      <c r="C210" s="65"/>
      <c r="D210" s="65"/>
      <c r="E210" s="66">
        <f>1176.78</f>
        <v>1176.78</v>
      </c>
      <c r="F210" s="65"/>
      <c r="G210" s="66">
        <f t="shared" si="3"/>
        <v>1176.78</v>
      </c>
    </row>
    <row r="211" spans="1:7" x14ac:dyDescent="0.25">
      <c r="A211" s="70" t="s">
        <v>281</v>
      </c>
      <c r="B211" s="65"/>
      <c r="C211" s="65"/>
      <c r="D211" s="65"/>
      <c r="E211" s="66">
        <f>6932.97</f>
        <v>6932.97</v>
      </c>
      <c r="F211" s="65"/>
      <c r="G211" s="66">
        <f t="shared" si="3"/>
        <v>6932.97</v>
      </c>
    </row>
    <row r="212" spans="1:7" x14ac:dyDescent="0.25">
      <c r="A212" s="70" t="s">
        <v>282</v>
      </c>
      <c r="B212" s="65"/>
      <c r="C212" s="65"/>
      <c r="D212" s="65"/>
      <c r="E212" s="65"/>
      <c r="F212" s="65"/>
      <c r="G212" s="66">
        <f t="shared" si="3"/>
        <v>0</v>
      </c>
    </row>
    <row r="213" spans="1:7" x14ac:dyDescent="0.25">
      <c r="A213" s="70" t="s">
        <v>507</v>
      </c>
      <c r="B213" s="65"/>
      <c r="C213" s="65"/>
      <c r="D213" s="65"/>
      <c r="E213" s="66">
        <f>722.5</f>
        <v>722.5</v>
      </c>
      <c r="F213" s="65"/>
      <c r="G213" s="66">
        <f t="shared" si="3"/>
        <v>722.5</v>
      </c>
    </row>
    <row r="214" spans="1:7" x14ac:dyDescent="0.25">
      <c r="A214" s="70" t="s">
        <v>508</v>
      </c>
      <c r="B214" s="67">
        <f>(B212)+(B213)</f>
        <v>0</v>
      </c>
      <c r="C214" s="67">
        <f>(C212)+(C213)</f>
        <v>0</v>
      </c>
      <c r="D214" s="67">
        <f>(D212)+(D213)</f>
        <v>0</v>
      </c>
      <c r="E214" s="67">
        <f>(E212)+(E213)</f>
        <v>722.5</v>
      </c>
      <c r="F214" s="67">
        <f>(F212)+(F213)</f>
        <v>0</v>
      </c>
      <c r="G214" s="67">
        <f t="shared" si="3"/>
        <v>722.5</v>
      </c>
    </row>
    <row r="215" spans="1:7" x14ac:dyDescent="0.25">
      <c r="A215" s="70" t="s">
        <v>284</v>
      </c>
      <c r="B215" s="65"/>
      <c r="C215" s="65"/>
      <c r="D215" s="65"/>
      <c r="E215" s="66">
        <f>6099.79</f>
        <v>6099.79</v>
      </c>
      <c r="F215" s="65"/>
      <c r="G215" s="66">
        <f t="shared" si="3"/>
        <v>6099.79</v>
      </c>
    </row>
    <row r="216" spans="1:7" x14ac:dyDescent="0.25">
      <c r="A216" s="70" t="s">
        <v>286</v>
      </c>
      <c r="B216" s="65"/>
      <c r="C216" s="65"/>
      <c r="D216" s="65"/>
      <c r="E216" s="66">
        <f>60</f>
        <v>60</v>
      </c>
      <c r="F216" s="65"/>
      <c r="G216" s="66">
        <f t="shared" si="3"/>
        <v>60</v>
      </c>
    </row>
    <row r="217" spans="1:7" x14ac:dyDescent="0.25">
      <c r="A217" s="70" t="s">
        <v>509</v>
      </c>
      <c r="B217" s="65"/>
      <c r="C217" s="65"/>
      <c r="D217" s="65"/>
      <c r="E217" s="66">
        <f>125</f>
        <v>125</v>
      </c>
      <c r="F217" s="65"/>
      <c r="G217" s="66">
        <f t="shared" si="3"/>
        <v>125</v>
      </c>
    </row>
    <row r="218" spans="1:7" x14ac:dyDescent="0.25">
      <c r="A218" s="70" t="s">
        <v>510</v>
      </c>
      <c r="B218" s="65"/>
      <c r="C218" s="65"/>
      <c r="D218" s="65"/>
      <c r="E218" s="66">
        <f>2116</f>
        <v>2116</v>
      </c>
      <c r="F218" s="65"/>
      <c r="G218" s="66">
        <f t="shared" si="3"/>
        <v>2116</v>
      </c>
    </row>
    <row r="219" spans="1:7" x14ac:dyDescent="0.25">
      <c r="A219" s="70" t="s">
        <v>287</v>
      </c>
      <c r="B219" s="65"/>
      <c r="C219" s="65"/>
      <c r="D219" s="65"/>
      <c r="E219" s="66">
        <f>2100</f>
        <v>2100</v>
      </c>
      <c r="F219" s="65"/>
      <c r="G219" s="66">
        <f t="shared" si="3"/>
        <v>2100</v>
      </c>
    </row>
    <row r="220" spans="1:7" x14ac:dyDescent="0.25">
      <c r="A220" s="70" t="s">
        <v>290</v>
      </c>
      <c r="B220" s="67">
        <f>(((((((((((B206)+(B207))+(B208))+(B209))+(B210))+(B211))+(B214))+(B215))+(B216))+(B217))+(B218))+(B219)</f>
        <v>0</v>
      </c>
      <c r="C220" s="67">
        <f>(((((((((((C206)+(C207))+(C208))+(C209))+(C210))+(C211))+(C214))+(C215))+(C216))+(C217))+(C218))+(C219)</f>
        <v>0</v>
      </c>
      <c r="D220" s="67">
        <f>(((((((((((D206)+(D207))+(D208))+(D209))+(D210))+(D211))+(D214))+(D215))+(D216))+(D217))+(D218))+(D219)</f>
        <v>0</v>
      </c>
      <c r="E220" s="67">
        <f>(((((((((((E206)+(E207))+(E208))+(E209))+(E210))+(E211))+(E214))+(E215))+(E216))+(E217))+(E218))+(E219)</f>
        <v>21181.52</v>
      </c>
      <c r="F220" s="67">
        <f>(((((((((((F206)+(F207))+(F208))+(F209))+(F210))+(F211))+(F214))+(F215))+(F216))+(F217))+(F218))+(F219)</f>
        <v>0</v>
      </c>
      <c r="G220" s="67">
        <f t="shared" si="3"/>
        <v>21181.52</v>
      </c>
    </row>
    <row r="221" spans="1:7" x14ac:dyDescent="0.25">
      <c r="A221" s="70" t="s">
        <v>291</v>
      </c>
      <c r="B221" s="65"/>
      <c r="C221" s="65"/>
      <c r="D221" s="65"/>
      <c r="E221" s="65"/>
      <c r="F221" s="65"/>
      <c r="G221" s="66">
        <f t="shared" si="3"/>
        <v>0</v>
      </c>
    </row>
    <row r="222" spans="1:7" x14ac:dyDescent="0.25">
      <c r="A222" s="70" t="s">
        <v>292</v>
      </c>
      <c r="B222" s="65"/>
      <c r="C222" s="65"/>
      <c r="D222" s="65"/>
      <c r="E222" s="66">
        <f>4320.99</f>
        <v>4320.99</v>
      </c>
      <c r="F222" s="65"/>
      <c r="G222" s="66">
        <f t="shared" si="3"/>
        <v>4320.99</v>
      </c>
    </row>
    <row r="223" spans="1:7" x14ac:dyDescent="0.25">
      <c r="A223" s="70" t="s">
        <v>293</v>
      </c>
      <c r="B223" s="65"/>
      <c r="C223" s="65"/>
      <c r="D223" s="65"/>
      <c r="E223" s="66">
        <f>16182.7</f>
        <v>16182.7</v>
      </c>
      <c r="F223" s="65"/>
      <c r="G223" s="66">
        <f t="shared" si="3"/>
        <v>16182.7</v>
      </c>
    </row>
    <row r="224" spans="1:7" x14ac:dyDescent="0.25">
      <c r="A224" s="70" t="s">
        <v>295</v>
      </c>
      <c r="B224" s="65"/>
      <c r="C224" s="65"/>
      <c r="D224" s="65"/>
      <c r="E224" s="66">
        <f>750</f>
        <v>750</v>
      </c>
      <c r="F224" s="65"/>
      <c r="G224" s="66">
        <f t="shared" si="3"/>
        <v>750</v>
      </c>
    </row>
    <row r="225" spans="1:7" x14ac:dyDescent="0.25">
      <c r="A225" s="70" t="s">
        <v>296</v>
      </c>
      <c r="B225" s="65"/>
      <c r="C225" s="65"/>
      <c r="D225" s="65"/>
      <c r="E225" s="66">
        <f>25.9</f>
        <v>25.9</v>
      </c>
      <c r="F225" s="65"/>
      <c r="G225" s="66">
        <f t="shared" si="3"/>
        <v>25.9</v>
      </c>
    </row>
    <row r="226" spans="1:7" x14ac:dyDescent="0.25">
      <c r="A226" s="70" t="s">
        <v>300</v>
      </c>
      <c r="B226" s="65"/>
      <c r="C226" s="65"/>
      <c r="D226" s="65"/>
      <c r="E226" s="65"/>
      <c r="F226" s="65"/>
      <c r="G226" s="66">
        <f t="shared" si="3"/>
        <v>0</v>
      </c>
    </row>
    <row r="227" spans="1:7" x14ac:dyDescent="0.25">
      <c r="A227" s="70" t="s">
        <v>301</v>
      </c>
      <c r="B227" s="65"/>
      <c r="C227" s="65"/>
      <c r="D227" s="65"/>
      <c r="E227" s="66">
        <f>3676.79</f>
        <v>3676.79</v>
      </c>
      <c r="F227" s="65"/>
      <c r="G227" s="66">
        <f t="shared" si="3"/>
        <v>3676.79</v>
      </c>
    </row>
    <row r="228" spans="1:7" x14ac:dyDescent="0.25">
      <c r="A228" s="70" t="s">
        <v>303</v>
      </c>
      <c r="B228" s="65"/>
      <c r="C228" s="65"/>
      <c r="D228" s="65"/>
      <c r="E228" s="66">
        <f>3915</f>
        <v>3915</v>
      </c>
      <c r="F228" s="65"/>
      <c r="G228" s="66">
        <f t="shared" si="3"/>
        <v>3915</v>
      </c>
    </row>
    <row r="229" spans="1:7" x14ac:dyDescent="0.25">
      <c r="A229" s="70" t="s">
        <v>511</v>
      </c>
      <c r="B229" s="65"/>
      <c r="C229" s="65"/>
      <c r="D229" s="65"/>
      <c r="E229" s="66">
        <f>30</f>
        <v>30</v>
      </c>
      <c r="F229" s="65"/>
      <c r="G229" s="66">
        <f t="shared" si="3"/>
        <v>30</v>
      </c>
    </row>
    <row r="230" spans="1:7" x14ac:dyDescent="0.25">
      <c r="A230" s="70" t="s">
        <v>304</v>
      </c>
      <c r="B230" s="67">
        <f>(((B226)+(B227))+(B228))+(B229)</f>
        <v>0</v>
      </c>
      <c r="C230" s="67">
        <f>(((C226)+(C227))+(C228))+(C229)</f>
        <v>0</v>
      </c>
      <c r="D230" s="67">
        <f>(((D226)+(D227))+(D228))+(D229)</f>
        <v>0</v>
      </c>
      <c r="E230" s="67">
        <f>(((E226)+(E227))+(E228))+(E229)</f>
        <v>7621.79</v>
      </c>
      <c r="F230" s="67">
        <f>(((F226)+(F227))+(F228))+(F229)</f>
        <v>0</v>
      </c>
      <c r="G230" s="67">
        <f t="shared" si="3"/>
        <v>7621.79</v>
      </c>
    </row>
    <row r="231" spans="1:7" x14ac:dyDescent="0.25">
      <c r="A231" s="70" t="s">
        <v>305</v>
      </c>
      <c r="B231" s="65"/>
      <c r="C231" s="65"/>
      <c r="D231" s="65"/>
      <c r="E231" s="65"/>
      <c r="F231" s="65"/>
      <c r="G231" s="66">
        <f t="shared" si="3"/>
        <v>0</v>
      </c>
    </row>
    <row r="232" spans="1:7" x14ac:dyDescent="0.25">
      <c r="A232" s="70" t="s">
        <v>306</v>
      </c>
      <c r="B232" s="65"/>
      <c r="C232" s="65"/>
      <c r="D232" s="65"/>
      <c r="E232" s="66">
        <f>8200</f>
        <v>8200</v>
      </c>
      <c r="F232" s="65"/>
      <c r="G232" s="66">
        <f t="shared" si="3"/>
        <v>8200</v>
      </c>
    </row>
    <row r="233" spans="1:7" x14ac:dyDescent="0.25">
      <c r="A233" s="70" t="s">
        <v>307</v>
      </c>
      <c r="B233" s="67">
        <f>(B231)+(B232)</f>
        <v>0</v>
      </c>
      <c r="C233" s="67">
        <f>(C231)+(C232)</f>
        <v>0</v>
      </c>
      <c r="D233" s="67">
        <f>(D231)+(D232)</f>
        <v>0</v>
      </c>
      <c r="E233" s="67">
        <f>(E231)+(E232)</f>
        <v>8200</v>
      </c>
      <c r="F233" s="67">
        <f>(F231)+(F232)</f>
        <v>0</v>
      </c>
      <c r="G233" s="67">
        <f t="shared" si="3"/>
        <v>8200</v>
      </c>
    </row>
    <row r="234" spans="1:7" x14ac:dyDescent="0.25">
      <c r="A234" s="70" t="s">
        <v>308</v>
      </c>
      <c r="B234" s="67">
        <f>((((((B221)+(B222))+(B223))+(B224))+(B225))+(B230))+(B233)</f>
        <v>0</v>
      </c>
      <c r="C234" s="67">
        <f>((((((C221)+(C222))+(C223))+(C224))+(C225))+(C230))+(C233)</f>
        <v>0</v>
      </c>
      <c r="D234" s="67">
        <f>((((((D221)+(D222))+(D223))+(D224))+(D225))+(D230))+(D233)</f>
        <v>0</v>
      </c>
      <c r="E234" s="67">
        <f>((((((E221)+(E222))+(E223))+(E224))+(E225))+(E230))+(E233)</f>
        <v>37101.380000000005</v>
      </c>
      <c r="F234" s="67">
        <f>((((((F221)+(F222))+(F223))+(F224))+(F225))+(F230))+(F233)</f>
        <v>0</v>
      </c>
      <c r="G234" s="67">
        <f t="shared" si="3"/>
        <v>37101.380000000005</v>
      </c>
    </row>
    <row r="235" spans="1:7" x14ac:dyDescent="0.25">
      <c r="A235" s="70" t="s">
        <v>309</v>
      </c>
      <c r="B235" s="67">
        <f>((B205)+(B220))+(B234)</f>
        <v>0</v>
      </c>
      <c r="C235" s="67">
        <f>((C205)+(C220))+(C234)</f>
        <v>0</v>
      </c>
      <c r="D235" s="67">
        <f>((D205)+(D220))+(D234)</f>
        <v>0</v>
      </c>
      <c r="E235" s="67">
        <f>((E205)+(E220))+(E234)</f>
        <v>58282.900000000009</v>
      </c>
      <c r="F235" s="67">
        <f>((F205)+(F220))+(F234)</f>
        <v>0</v>
      </c>
      <c r="G235" s="67">
        <f t="shared" si="3"/>
        <v>58282.900000000009</v>
      </c>
    </row>
    <row r="236" spans="1:7" x14ac:dyDescent="0.25">
      <c r="A236" s="70" t="s">
        <v>310</v>
      </c>
      <c r="B236" s="67">
        <f>(((B164)+(B195))+(B204))+(B235)</f>
        <v>0</v>
      </c>
      <c r="C236" s="67">
        <f>(((C164)+(C195))+(C204))+(C235)</f>
        <v>0</v>
      </c>
      <c r="D236" s="67">
        <f>(((D164)+(D195))+(D204))+(D235)</f>
        <v>148230.34</v>
      </c>
      <c r="E236" s="67">
        <f>(((E164)+(E195))+(E204))+(E235)</f>
        <v>171734.58000000002</v>
      </c>
      <c r="F236" s="67">
        <f>(((F164)+(F195))+(F204))+(F235)</f>
        <v>0</v>
      </c>
      <c r="G236" s="67">
        <f t="shared" si="3"/>
        <v>319964.92000000004</v>
      </c>
    </row>
    <row r="237" spans="1:7" x14ac:dyDescent="0.25">
      <c r="A237" s="70" t="s">
        <v>512</v>
      </c>
      <c r="B237" s="65"/>
      <c r="C237" s="65"/>
      <c r="D237" s="65"/>
      <c r="E237" s="65"/>
      <c r="F237" s="65"/>
      <c r="G237" s="66">
        <f t="shared" si="3"/>
        <v>0</v>
      </c>
    </row>
    <row r="238" spans="1:7" x14ac:dyDescent="0.25">
      <c r="A238" s="64" t="s">
        <v>513</v>
      </c>
      <c r="B238" s="65"/>
      <c r="C238" s="65"/>
      <c r="D238" s="65"/>
      <c r="E238" s="65"/>
      <c r="F238" s="66">
        <f>0</f>
        <v>0</v>
      </c>
      <c r="G238" s="66">
        <f t="shared" si="3"/>
        <v>0</v>
      </c>
    </row>
    <row r="239" spans="1:7" x14ac:dyDescent="0.25">
      <c r="A239" s="64" t="s">
        <v>514</v>
      </c>
      <c r="B239" s="65"/>
      <c r="C239" s="65"/>
      <c r="D239" s="65"/>
      <c r="E239" s="65"/>
      <c r="F239" s="66">
        <f>0</f>
        <v>0</v>
      </c>
      <c r="G239" s="66">
        <f t="shared" si="3"/>
        <v>0</v>
      </c>
    </row>
    <row r="240" spans="1:7" x14ac:dyDescent="0.25">
      <c r="A240" s="70" t="s">
        <v>515</v>
      </c>
      <c r="B240" s="67">
        <f>((B237)+(B238))+(B239)</f>
        <v>0</v>
      </c>
      <c r="C240" s="67">
        <f>((C237)+(C238))+(C239)</f>
        <v>0</v>
      </c>
      <c r="D240" s="67">
        <f>((D237)+(D238))+(D239)</f>
        <v>0</v>
      </c>
      <c r="E240" s="67">
        <f>((E237)+(E238))+(E239)</f>
        <v>0</v>
      </c>
      <c r="F240" s="67">
        <f>((F237)+(F238))+(F239)</f>
        <v>0</v>
      </c>
      <c r="G240" s="67">
        <f t="shared" si="3"/>
        <v>0</v>
      </c>
    </row>
    <row r="241" spans="1:7" x14ac:dyDescent="0.25">
      <c r="A241" s="70" t="s">
        <v>311</v>
      </c>
      <c r="B241" s="67">
        <f>((B163)+(B236))+(B240)</f>
        <v>336975.44999999995</v>
      </c>
      <c r="C241" s="67">
        <f>((C163)+(C236))+(C240)</f>
        <v>0</v>
      </c>
      <c r="D241" s="67">
        <f>((D163)+(D236))+(D240)</f>
        <v>148230.34</v>
      </c>
      <c r="E241" s="67">
        <f>((E163)+(E236))+(E240)</f>
        <v>171734.58000000002</v>
      </c>
      <c r="F241" s="67">
        <f>((F163)+(F236))+(F240)</f>
        <v>0</v>
      </c>
      <c r="G241" s="67">
        <f t="shared" si="3"/>
        <v>656940.36999999988</v>
      </c>
    </row>
    <row r="242" spans="1:7" x14ac:dyDescent="0.25">
      <c r="A242" s="70" t="s">
        <v>312</v>
      </c>
      <c r="B242" s="67">
        <f>(B50)-(B241)</f>
        <v>-39021.759999999893</v>
      </c>
      <c r="C242" s="67">
        <f>(C50)-(C241)</f>
        <v>0</v>
      </c>
      <c r="D242" s="67">
        <f>(D50)-(D241)</f>
        <v>22635.350000000006</v>
      </c>
      <c r="E242" s="67">
        <f>(E50)-(E241)</f>
        <v>4971.3399999999965</v>
      </c>
      <c r="F242" s="67">
        <f>(F50)-(F241)</f>
        <v>0</v>
      </c>
      <c r="G242" s="67">
        <f t="shared" si="3"/>
        <v>-11415.069999999891</v>
      </c>
    </row>
    <row r="243" spans="1:7" x14ac:dyDescent="0.25">
      <c r="A243" s="70" t="s">
        <v>516</v>
      </c>
      <c r="B243" s="65"/>
      <c r="C243" s="65"/>
      <c r="D243" s="65"/>
      <c r="E243" s="65"/>
      <c r="F243" s="65"/>
      <c r="G243" s="65"/>
    </row>
    <row r="244" spans="1:7" x14ac:dyDescent="0.25">
      <c r="A244" s="70" t="s">
        <v>517</v>
      </c>
      <c r="B244" s="65"/>
      <c r="C244" s="65"/>
      <c r="D244" s="65"/>
      <c r="E244" s="65"/>
      <c r="F244" s="65"/>
      <c r="G244" s="66">
        <f t="shared" ref="G244:G264" si="4">((((B244)+(C244))+(D244))+(E244))+(F244)</f>
        <v>0</v>
      </c>
    </row>
    <row r="245" spans="1:7" x14ac:dyDescent="0.25">
      <c r="A245" s="70" t="s">
        <v>518</v>
      </c>
      <c r="B245" s="65"/>
      <c r="C245" s="66">
        <f>340</f>
        <v>340</v>
      </c>
      <c r="D245" s="65"/>
      <c r="E245" s="65"/>
      <c r="F245" s="65"/>
      <c r="G245" s="66">
        <f t="shared" si="4"/>
        <v>340</v>
      </c>
    </row>
    <row r="246" spans="1:7" x14ac:dyDescent="0.25">
      <c r="A246" s="70" t="s">
        <v>519</v>
      </c>
      <c r="B246" s="65"/>
      <c r="C246" s="65"/>
      <c r="D246" s="65"/>
      <c r="E246" s="65"/>
      <c r="F246" s="65"/>
      <c r="G246" s="66">
        <f t="shared" si="4"/>
        <v>0</v>
      </c>
    </row>
    <row r="247" spans="1:7" x14ac:dyDescent="0.25">
      <c r="A247" s="70" t="s">
        <v>520</v>
      </c>
      <c r="B247" s="65"/>
      <c r="C247" s="66">
        <f>12744.8</f>
        <v>12744.8</v>
      </c>
      <c r="D247" s="65"/>
      <c r="E247" s="65"/>
      <c r="F247" s="65"/>
      <c r="G247" s="66">
        <f t="shared" si="4"/>
        <v>12744.8</v>
      </c>
    </row>
    <row r="248" spans="1:7" x14ac:dyDescent="0.25">
      <c r="A248" s="70" t="s">
        <v>521</v>
      </c>
      <c r="B248" s="65"/>
      <c r="C248" s="66">
        <f>42792</f>
        <v>42792</v>
      </c>
      <c r="D248" s="65"/>
      <c r="E248" s="65"/>
      <c r="F248" s="65"/>
      <c r="G248" s="66">
        <f t="shared" si="4"/>
        <v>42792</v>
      </c>
    </row>
    <row r="249" spans="1:7" x14ac:dyDescent="0.25">
      <c r="A249" s="70" t="s">
        <v>522</v>
      </c>
      <c r="B249" s="65"/>
      <c r="C249" s="66">
        <f>7500</f>
        <v>7500</v>
      </c>
      <c r="D249" s="65"/>
      <c r="E249" s="65"/>
      <c r="F249" s="65"/>
      <c r="G249" s="66">
        <f t="shared" si="4"/>
        <v>7500</v>
      </c>
    </row>
    <row r="250" spans="1:7" x14ac:dyDescent="0.25">
      <c r="A250" s="70" t="s">
        <v>523</v>
      </c>
      <c r="B250" s="65"/>
      <c r="C250" s="66">
        <f>5750</f>
        <v>5750</v>
      </c>
      <c r="D250" s="65"/>
      <c r="E250" s="65"/>
      <c r="F250" s="65"/>
      <c r="G250" s="66">
        <f t="shared" si="4"/>
        <v>5750</v>
      </c>
    </row>
    <row r="251" spans="1:7" x14ac:dyDescent="0.25">
      <c r="A251" s="70" t="s">
        <v>524</v>
      </c>
      <c r="B251" s="65"/>
      <c r="C251" s="66">
        <f>4033.31</f>
        <v>4033.31</v>
      </c>
      <c r="D251" s="65"/>
      <c r="E251" s="65"/>
      <c r="F251" s="65"/>
      <c r="G251" s="66">
        <f t="shared" si="4"/>
        <v>4033.31</v>
      </c>
    </row>
    <row r="252" spans="1:7" x14ac:dyDescent="0.25">
      <c r="A252" s="70" t="s">
        <v>525</v>
      </c>
      <c r="B252" s="67">
        <f>(((((B246)+(B247))+(B248))+(B249))+(B250))+(B251)</f>
        <v>0</v>
      </c>
      <c r="C252" s="67">
        <f>(((((C246)+(C247))+(C248))+(C249))+(C250))+(C251)</f>
        <v>72820.11</v>
      </c>
      <c r="D252" s="67">
        <f>(((((D246)+(D247))+(D248))+(D249))+(D250))+(D251)</f>
        <v>0</v>
      </c>
      <c r="E252" s="67">
        <f>(((((E246)+(E247))+(E248))+(E249))+(E250))+(E251)</f>
        <v>0</v>
      </c>
      <c r="F252" s="67">
        <f>(((((F246)+(F247))+(F248))+(F249))+(F250))+(F251)</f>
        <v>0</v>
      </c>
      <c r="G252" s="67">
        <f t="shared" si="4"/>
        <v>72820.11</v>
      </c>
    </row>
    <row r="253" spans="1:7" x14ac:dyDescent="0.25">
      <c r="A253" s="70" t="s">
        <v>526</v>
      </c>
      <c r="B253" s="65"/>
      <c r="C253" s="66">
        <f>4525.67</f>
        <v>4525.67</v>
      </c>
      <c r="D253" s="65"/>
      <c r="E253" s="65"/>
      <c r="F253" s="65"/>
      <c r="G253" s="66">
        <f t="shared" si="4"/>
        <v>4525.67</v>
      </c>
    </row>
    <row r="254" spans="1:7" x14ac:dyDescent="0.25">
      <c r="A254" s="70" t="s">
        <v>527</v>
      </c>
      <c r="B254" s="65"/>
      <c r="C254" s="66">
        <f>15236.57</f>
        <v>15236.57</v>
      </c>
      <c r="D254" s="65"/>
      <c r="E254" s="65"/>
      <c r="F254" s="65"/>
      <c r="G254" s="66">
        <f t="shared" si="4"/>
        <v>15236.57</v>
      </c>
    </row>
    <row r="255" spans="1:7" x14ac:dyDescent="0.25">
      <c r="A255" s="70" t="s">
        <v>528</v>
      </c>
      <c r="B255" s="65"/>
      <c r="C255" s="66">
        <f>119</f>
        <v>119</v>
      </c>
      <c r="D255" s="65"/>
      <c r="E255" s="65"/>
      <c r="F255" s="65"/>
      <c r="G255" s="66">
        <f t="shared" si="4"/>
        <v>119</v>
      </c>
    </row>
    <row r="256" spans="1:7" x14ac:dyDescent="0.25">
      <c r="A256" s="70" t="s">
        <v>529</v>
      </c>
      <c r="B256" s="65"/>
      <c r="C256" s="66">
        <f>500</f>
        <v>500</v>
      </c>
      <c r="D256" s="65"/>
      <c r="E256" s="65"/>
      <c r="F256" s="65"/>
      <c r="G256" s="66">
        <f t="shared" si="4"/>
        <v>500</v>
      </c>
    </row>
    <row r="257" spans="1:7" x14ac:dyDescent="0.25">
      <c r="A257" s="70" t="s">
        <v>530</v>
      </c>
      <c r="B257" s="65"/>
      <c r="C257" s="66">
        <f>3428</f>
        <v>3428</v>
      </c>
      <c r="D257" s="65"/>
      <c r="E257" s="65"/>
      <c r="F257" s="65"/>
      <c r="G257" s="66">
        <f t="shared" si="4"/>
        <v>3428</v>
      </c>
    </row>
    <row r="258" spans="1:7" x14ac:dyDescent="0.25">
      <c r="A258" s="70" t="s">
        <v>531</v>
      </c>
      <c r="B258" s="67">
        <f>(((((((B244)+(B245))+(B252))+(B253))+(B254))+(B255))+(B256))+(B257)</f>
        <v>0</v>
      </c>
      <c r="C258" s="67">
        <f>(((((((C244)+(C245))+(C252))+(C253))+(C254))+(C255))+(C256))+(C257)</f>
        <v>96969.35</v>
      </c>
      <c r="D258" s="67">
        <f>(((((((D244)+(D245))+(D252))+(D253))+(D254))+(D255))+(D256))+(D257)</f>
        <v>0</v>
      </c>
      <c r="E258" s="67">
        <f>(((((((E244)+(E245))+(E252))+(E253))+(E254))+(E255))+(E256))+(E257)</f>
        <v>0</v>
      </c>
      <c r="F258" s="67">
        <f>(((((((F244)+(F245))+(F252))+(F253))+(F254))+(F255))+(F256))+(F257)</f>
        <v>0</v>
      </c>
      <c r="G258" s="67">
        <f t="shared" si="4"/>
        <v>96969.35</v>
      </c>
    </row>
    <row r="259" spans="1:7" x14ac:dyDescent="0.25">
      <c r="A259" s="70" t="s">
        <v>532</v>
      </c>
      <c r="B259" s="65"/>
      <c r="C259" s="65"/>
      <c r="D259" s="65"/>
      <c r="E259" s="66">
        <f>556.04</f>
        <v>556.04</v>
      </c>
      <c r="F259" s="65"/>
      <c r="G259" s="66">
        <f t="shared" si="4"/>
        <v>556.04</v>
      </c>
    </row>
    <row r="260" spans="1:7" x14ac:dyDescent="0.25">
      <c r="A260" s="70" t="s">
        <v>533</v>
      </c>
      <c r="B260" s="65"/>
      <c r="C260" s="65"/>
      <c r="D260" s="65"/>
      <c r="E260" s="65"/>
      <c r="F260" s="65"/>
      <c r="G260" s="66">
        <f t="shared" si="4"/>
        <v>0</v>
      </c>
    </row>
    <row r="261" spans="1:7" x14ac:dyDescent="0.25">
      <c r="A261" s="70" t="s">
        <v>534</v>
      </c>
      <c r="B261" s="66">
        <f>3585.66</f>
        <v>3585.66</v>
      </c>
      <c r="C261" s="65"/>
      <c r="D261" s="65"/>
      <c r="E261" s="66">
        <f>1897.45</f>
        <v>1897.45</v>
      </c>
      <c r="F261" s="65"/>
      <c r="G261" s="66">
        <f t="shared" si="4"/>
        <v>5483.11</v>
      </c>
    </row>
    <row r="262" spans="1:7" x14ac:dyDescent="0.25">
      <c r="A262" s="70" t="s">
        <v>535</v>
      </c>
      <c r="B262" s="66">
        <f>808</f>
        <v>808</v>
      </c>
      <c r="C262" s="65"/>
      <c r="D262" s="65"/>
      <c r="E262" s="66">
        <f>427.58</f>
        <v>427.58</v>
      </c>
      <c r="F262" s="65"/>
      <c r="G262" s="66">
        <f t="shared" si="4"/>
        <v>1235.58</v>
      </c>
    </row>
    <row r="263" spans="1:7" x14ac:dyDescent="0.25">
      <c r="A263" s="70" t="s">
        <v>536</v>
      </c>
      <c r="B263" s="67">
        <f>((B260)+(B261))+(B262)</f>
        <v>4393.66</v>
      </c>
      <c r="C263" s="67">
        <f>((C260)+(C261))+(C262)</f>
        <v>0</v>
      </c>
      <c r="D263" s="67">
        <f>((D260)+(D261))+(D262)</f>
        <v>0</v>
      </c>
      <c r="E263" s="67">
        <f>((E260)+(E261))+(E262)</f>
        <v>2325.0300000000002</v>
      </c>
      <c r="F263" s="67">
        <f>((F260)+(F261))+(F262)</f>
        <v>0</v>
      </c>
      <c r="G263" s="67">
        <f t="shared" si="4"/>
        <v>6718.6900000000005</v>
      </c>
    </row>
    <row r="264" spans="1:7" x14ac:dyDescent="0.25">
      <c r="A264" s="70" t="s">
        <v>537</v>
      </c>
      <c r="B264" s="67">
        <f>((B258)+(B259))+(B263)</f>
        <v>4393.66</v>
      </c>
      <c r="C264" s="67">
        <f>((C258)+(C259))+(C263)</f>
        <v>96969.35</v>
      </c>
      <c r="D264" s="67">
        <f>((D258)+(D259))+(D263)</f>
        <v>0</v>
      </c>
      <c r="E264" s="67">
        <f>((E258)+(E259))+(E263)</f>
        <v>2881.07</v>
      </c>
      <c r="F264" s="67">
        <f>((F258)+(F259))+(F263)</f>
        <v>0</v>
      </c>
      <c r="G264" s="67">
        <f t="shared" si="4"/>
        <v>104244.08000000002</v>
      </c>
    </row>
    <row r="265" spans="1:7" x14ac:dyDescent="0.25">
      <c r="A265" s="70" t="s">
        <v>538</v>
      </c>
      <c r="B265" s="65"/>
      <c r="C265" s="65"/>
      <c r="D265" s="65"/>
      <c r="E265" s="65"/>
      <c r="F265" s="65"/>
      <c r="G265" s="65"/>
    </row>
    <row r="266" spans="1:7" x14ac:dyDescent="0.25">
      <c r="A266" s="70" t="s">
        <v>539</v>
      </c>
      <c r="B266" s="66">
        <f>19342.27</f>
        <v>19342.27</v>
      </c>
      <c r="C266" s="65"/>
      <c r="D266" s="65"/>
      <c r="E266" s="65"/>
      <c r="F266" s="65"/>
      <c r="G266" s="66">
        <f t="shared" ref="G266:G292" si="5">((((B266)+(C266))+(D266))+(E266))+(F266)</f>
        <v>19342.27</v>
      </c>
    </row>
    <row r="267" spans="1:7" x14ac:dyDescent="0.25">
      <c r="A267" s="70" t="s">
        <v>540</v>
      </c>
      <c r="B267" s="65"/>
      <c r="C267" s="65"/>
      <c r="D267" s="65"/>
      <c r="E267" s="65"/>
      <c r="F267" s="65"/>
      <c r="G267" s="66">
        <f t="shared" si="5"/>
        <v>0</v>
      </c>
    </row>
    <row r="268" spans="1:7" x14ac:dyDescent="0.25">
      <c r="A268" s="70" t="s">
        <v>541</v>
      </c>
      <c r="B268" s="65"/>
      <c r="C268" s="66">
        <f>16150</f>
        <v>16150</v>
      </c>
      <c r="D268" s="65"/>
      <c r="E268" s="65"/>
      <c r="F268" s="65"/>
      <c r="G268" s="66">
        <f t="shared" si="5"/>
        <v>16150</v>
      </c>
    </row>
    <row r="269" spans="1:7" x14ac:dyDescent="0.25">
      <c r="A269" s="70" t="s">
        <v>542</v>
      </c>
      <c r="B269" s="65"/>
      <c r="C269" s="66">
        <f>1000</f>
        <v>1000</v>
      </c>
      <c r="D269" s="65"/>
      <c r="E269" s="65"/>
      <c r="F269" s="65"/>
      <c r="G269" s="66">
        <f t="shared" si="5"/>
        <v>1000</v>
      </c>
    </row>
    <row r="270" spans="1:7" x14ac:dyDescent="0.25">
      <c r="A270" s="70" t="s">
        <v>543</v>
      </c>
      <c r="B270" s="65"/>
      <c r="C270" s="65"/>
      <c r="D270" s="65"/>
      <c r="E270" s="65"/>
      <c r="F270" s="65"/>
      <c r="G270" s="66">
        <f t="shared" si="5"/>
        <v>0</v>
      </c>
    </row>
    <row r="271" spans="1:7" x14ac:dyDescent="0.25">
      <c r="A271" s="70" t="s">
        <v>544</v>
      </c>
      <c r="B271" s="65"/>
      <c r="C271" s="66">
        <f>23530.73</f>
        <v>23530.73</v>
      </c>
      <c r="D271" s="65"/>
      <c r="E271" s="65"/>
      <c r="F271" s="65"/>
      <c r="G271" s="66">
        <f t="shared" si="5"/>
        <v>23530.73</v>
      </c>
    </row>
    <row r="272" spans="1:7" x14ac:dyDescent="0.25">
      <c r="A272" s="70" t="s">
        <v>545</v>
      </c>
      <c r="B272" s="65"/>
      <c r="C272" s="66">
        <f>5914.71</f>
        <v>5914.71</v>
      </c>
      <c r="D272" s="65"/>
      <c r="E272" s="65"/>
      <c r="F272" s="65"/>
      <c r="G272" s="66">
        <f t="shared" si="5"/>
        <v>5914.71</v>
      </c>
    </row>
    <row r="273" spans="1:7" x14ac:dyDescent="0.25">
      <c r="A273" s="70" t="s">
        <v>546</v>
      </c>
      <c r="B273" s="65"/>
      <c r="C273" s="65"/>
      <c r="D273" s="65"/>
      <c r="E273" s="65"/>
      <c r="F273" s="65"/>
      <c r="G273" s="66">
        <f t="shared" si="5"/>
        <v>0</v>
      </c>
    </row>
    <row r="274" spans="1:7" x14ac:dyDescent="0.25">
      <c r="A274" s="70" t="s">
        <v>547</v>
      </c>
      <c r="B274" s="65"/>
      <c r="C274" s="66">
        <f>3214.15</f>
        <v>3214.15</v>
      </c>
      <c r="D274" s="65"/>
      <c r="E274" s="65"/>
      <c r="F274" s="65"/>
      <c r="G274" s="66">
        <f t="shared" si="5"/>
        <v>3214.15</v>
      </c>
    </row>
    <row r="275" spans="1:7" x14ac:dyDescent="0.25">
      <c r="A275" s="70" t="s">
        <v>548</v>
      </c>
      <c r="B275" s="65"/>
      <c r="C275" s="66">
        <f>1425.5</f>
        <v>1425.5</v>
      </c>
      <c r="D275" s="65"/>
      <c r="E275" s="65"/>
      <c r="F275" s="65"/>
      <c r="G275" s="66">
        <f t="shared" si="5"/>
        <v>1425.5</v>
      </c>
    </row>
    <row r="276" spans="1:7" x14ac:dyDescent="0.25">
      <c r="A276" s="70" t="s">
        <v>549</v>
      </c>
      <c r="B276" s="67">
        <f>((B273)+(B274))+(B275)</f>
        <v>0</v>
      </c>
      <c r="C276" s="67">
        <f>((C273)+(C274))+(C275)</f>
        <v>4639.6499999999996</v>
      </c>
      <c r="D276" s="67">
        <f>((D273)+(D274))+(D275)</f>
        <v>0</v>
      </c>
      <c r="E276" s="67">
        <f>((E273)+(E274))+(E275)</f>
        <v>0</v>
      </c>
      <c r="F276" s="67">
        <f>((F273)+(F274))+(F275)</f>
        <v>0</v>
      </c>
      <c r="G276" s="67">
        <f t="shared" si="5"/>
        <v>4639.6499999999996</v>
      </c>
    </row>
    <row r="277" spans="1:7" x14ac:dyDescent="0.25">
      <c r="A277" s="70" t="s">
        <v>550</v>
      </c>
      <c r="B277" s="65"/>
      <c r="C277" s="66">
        <f>77619.91</f>
        <v>77619.91</v>
      </c>
      <c r="D277" s="65"/>
      <c r="E277" s="65"/>
      <c r="F277" s="65"/>
      <c r="G277" s="66">
        <f t="shared" si="5"/>
        <v>77619.91</v>
      </c>
    </row>
    <row r="278" spans="1:7" x14ac:dyDescent="0.25">
      <c r="A278" s="70" t="s">
        <v>551</v>
      </c>
      <c r="B278" s="65"/>
      <c r="C278" s="66">
        <f>0</f>
        <v>0</v>
      </c>
      <c r="D278" s="65"/>
      <c r="E278" s="65"/>
      <c r="F278" s="65"/>
      <c r="G278" s="66">
        <f t="shared" si="5"/>
        <v>0</v>
      </c>
    </row>
    <row r="279" spans="1:7" x14ac:dyDescent="0.25">
      <c r="A279" s="70" t="s">
        <v>552</v>
      </c>
      <c r="B279" s="65"/>
      <c r="C279" s="66">
        <f>4893.65</f>
        <v>4893.6499999999996</v>
      </c>
      <c r="D279" s="65"/>
      <c r="E279" s="65"/>
      <c r="F279" s="65"/>
      <c r="G279" s="66">
        <f t="shared" si="5"/>
        <v>4893.6499999999996</v>
      </c>
    </row>
    <row r="280" spans="1:7" x14ac:dyDescent="0.25">
      <c r="A280" s="70" t="s">
        <v>553</v>
      </c>
      <c r="B280" s="67">
        <f>((((((B270)+(B271))+(B272))+(B276))+(B277))+(B278))+(B279)</f>
        <v>0</v>
      </c>
      <c r="C280" s="67">
        <f>((((((C270)+(C271))+(C272))+(C276))+(C277))+(C278))+(C279)</f>
        <v>116598.65</v>
      </c>
      <c r="D280" s="67">
        <f>((((((D270)+(D271))+(D272))+(D276))+(D277))+(D278))+(D279)</f>
        <v>0</v>
      </c>
      <c r="E280" s="67">
        <f>((((((E270)+(E271))+(E272))+(E276))+(E277))+(E278))+(E279)</f>
        <v>0</v>
      </c>
      <c r="F280" s="67">
        <f>((((((F270)+(F271))+(F272))+(F276))+(F277))+(F278))+(F279)</f>
        <v>0</v>
      </c>
      <c r="G280" s="67">
        <f t="shared" si="5"/>
        <v>116598.65</v>
      </c>
    </row>
    <row r="281" spans="1:7" x14ac:dyDescent="0.25">
      <c r="A281" s="70" t="s">
        <v>554</v>
      </c>
      <c r="B281" s="65"/>
      <c r="C281" s="66">
        <f>2781.36</f>
        <v>2781.36</v>
      </c>
      <c r="D281" s="65"/>
      <c r="E281" s="65"/>
      <c r="F281" s="65"/>
      <c r="G281" s="66">
        <f t="shared" si="5"/>
        <v>2781.36</v>
      </c>
    </row>
    <row r="282" spans="1:7" x14ac:dyDescent="0.25">
      <c r="A282" s="70" t="s">
        <v>555</v>
      </c>
      <c r="B282" s="65"/>
      <c r="C282" s="66">
        <f>111050</f>
        <v>111050</v>
      </c>
      <c r="D282" s="65"/>
      <c r="E282" s="65"/>
      <c r="F282" s="65"/>
      <c r="G282" s="66">
        <f t="shared" si="5"/>
        <v>111050</v>
      </c>
    </row>
    <row r="283" spans="1:7" x14ac:dyDescent="0.25">
      <c r="A283" s="70" t="s">
        <v>556</v>
      </c>
      <c r="B283" s="65"/>
      <c r="C283" s="66">
        <f>4826.5</f>
        <v>4826.5</v>
      </c>
      <c r="D283" s="65"/>
      <c r="E283" s="65"/>
      <c r="F283" s="65"/>
      <c r="G283" s="66">
        <f t="shared" si="5"/>
        <v>4826.5</v>
      </c>
    </row>
    <row r="284" spans="1:7" x14ac:dyDescent="0.25">
      <c r="A284" s="70" t="s">
        <v>557</v>
      </c>
      <c r="B284" s="65"/>
      <c r="C284" s="66">
        <f>5396.25</f>
        <v>5396.25</v>
      </c>
      <c r="D284" s="65"/>
      <c r="E284" s="65"/>
      <c r="F284" s="65"/>
      <c r="G284" s="66">
        <f t="shared" si="5"/>
        <v>5396.25</v>
      </c>
    </row>
    <row r="285" spans="1:7" x14ac:dyDescent="0.25">
      <c r="A285" s="70" t="s">
        <v>558</v>
      </c>
      <c r="B285" s="67">
        <f>((B282)+(B283))+(B284)</f>
        <v>0</v>
      </c>
      <c r="C285" s="67">
        <f>((C282)+(C283))+(C284)</f>
        <v>121272.75</v>
      </c>
      <c r="D285" s="67">
        <f>((D282)+(D283))+(D284)</f>
        <v>0</v>
      </c>
      <c r="E285" s="67">
        <f>((E282)+(E283))+(E284)</f>
        <v>0</v>
      </c>
      <c r="F285" s="67">
        <f>((F282)+(F283))+(F284)</f>
        <v>0</v>
      </c>
      <c r="G285" s="67">
        <f t="shared" si="5"/>
        <v>121272.75</v>
      </c>
    </row>
    <row r="286" spans="1:7" x14ac:dyDescent="0.25">
      <c r="A286" s="70" t="s">
        <v>559</v>
      </c>
      <c r="B286" s="67">
        <f>(((((B267)+(B268))+(B269))+(B280))+(B281))+(B285)</f>
        <v>0</v>
      </c>
      <c r="C286" s="67">
        <f>(((((C267)+(C268))+(C269))+(C280))+(C281))+(C285)</f>
        <v>257802.75999999998</v>
      </c>
      <c r="D286" s="67">
        <f>(((((D267)+(D268))+(D269))+(D280))+(D281))+(D285)</f>
        <v>0</v>
      </c>
      <c r="E286" s="67">
        <f>(((((E267)+(E268))+(E269))+(E280))+(E281))+(E285)</f>
        <v>0</v>
      </c>
      <c r="F286" s="67">
        <f>(((((F267)+(F268))+(F269))+(F280))+(F281))+(F285)</f>
        <v>0</v>
      </c>
      <c r="G286" s="67">
        <f t="shared" si="5"/>
        <v>257802.75999999998</v>
      </c>
    </row>
    <row r="287" spans="1:7" x14ac:dyDescent="0.25">
      <c r="A287" s="70" t="s">
        <v>560</v>
      </c>
      <c r="B287" s="65"/>
      <c r="C287" s="65"/>
      <c r="D287" s="65"/>
      <c r="E287" s="65"/>
      <c r="F287" s="65"/>
      <c r="G287" s="66">
        <f t="shared" si="5"/>
        <v>0</v>
      </c>
    </row>
    <row r="288" spans="1:7" x14ac:dyDescent="0.25">
      <c r="A288" s="70" t="s">
        <v>561</v>
      </c>
      <c r="B288" s="65"/>
      <c r="C288" s="65"/>
      <c r="D288" s="65"/>
      <c r="E288" s="66">
        <f>10235.59</f>
        <v>10235.59</v>
      </c>
      <c r="F288" s="65"/>
      <c r="G288" s="66">
        <f t="shared" si="5"/>
        <v>10235.59</v>
      </c>
    </row>
    <row r="289" spans="1:7" x14ac:dyDescent="0.25">
      <c r="A289" s="70" t="s">
        <v>562</v>
      </c>
      <c r="B289" s="67">
        <f>(B287)+(B288)</f>
        <v>0</v>
      </c>
      <c r="C289" s="67">
        <f>(C287)+(C288)</f>
        <v>0</v>
      </c>
      <c r="D289" s="67">
        <f>(D287)+(D288)</f>
        <v>0</v>
      </c>
      <c r="E289" s="67">
        <f>(E287)+(E288)</f>
        <v>10235.59</v>
      </c>
      <c r="F289" s="67">
        <f>(F287)+(F288)</f>
        <v>0</v>
      </c>
      <c r="G289" s="67">
        <f t="shared" si="5"/>
        <v>10235.59</v>
      </c>
    </row>
    <row r="290" spans="1:7" x14ac:dyDescent="0.25">
      <c r="A290" s="70" t="s">
        <v>563</v>
      </c>
      <c r="B290" s="67">
        <f>((B266)+(B286))+(B289)</f>
        <v>19342.27</v>
      </c>
      <c r="C290" s="67">
        <f>((C266)+(C286))+(C289)</f>
        <v>257802.75999999998</v>
      </c>
      <c r="D290" s="67">
        <f>((D266)+(D286))+(D289)</f>
        <v>0</v>
      </c>
      <c r="E290" s="67">
        <f>((E266)+(E286))+(E289)</f>
        <v>10235.59</v>
      </c>
      <c r="F290" s="67">
        <f>((F266)+(F286))+(F289)</f>
        <v>0</v>
      </c>
      <c r="G290" s="67">
        <f t="shared" si="5"/>
        <v>287380.62</v>
      </c>
    </row>
    <row r="291" spans="1:7" x14ac:dyDescent="0.25">
      <c r="A291" s="70" t="s">
        <v>564</v>
      </c>
      <c r="B291" s="67">
        <f>(B264)-(B290)</f>
        <v>-14948.61</v>
      </c>
      <c r="C291" s="67">
        <f>(C264)-(C290)</f>
        <v>-160833.40999999997</v>
      </c>
      <c r="D291" s="67">
        <f>(D264)-(D290)</f>
        <v>0</v>
      </c>
      <c r="E291" s="67">
        <f>(E264)-(E290)</f>
        <v>-7354.52</v>
      </c>
      <c r="F291" s="67">
        <f>(F264)-(F290)</f>
        <v>0</v>
      </c>
      <c r="G291" s="67">
        <f t="shared" si="5"/>
        <v>-183136.53999999995</v>
      </c>
    </row>
    <row r="292" spans="1:7" x14ac:dyDescent="0.25">
      <c r="A292" s="70" t="s">
        <v>313</v>
      </c>
      <c r="B292" s="67">
        <f>(B242)+(B291)</f>
        <v>-53970.369999999893</v>
      </c>
      <c r="C292" s="67">
        <f>(C242)+(C291)</f>
        <v>-160833.40999999997</v>
      </c>
      <c r="D292" s="67">
        <f>(D242)+(D291)</f>
        <v>22635.350000000006</v>
      </c>
      <c r="E292" s="67">
        <f>(E242)+(E291)</f>
        <v>-2383.1800000000039</v>
      </c>
      <c r="F292" s="67">
        <f>(F242)+(F291)</f>
        <v>0</v>
      </c>
      <c r="G292" s="67">
        <f t="shared" si="5"/>
        <v>-194551.60999999984</v>
      </c>
    </row>
    <row r="293" spans="1:7" x14ac:dyDescent="0.25">
      <c r="A293" s="64"/>
      <c r="B293" s="65"/>
      <c r="C293" s="65"/>
      <c r="D293" s="65"/>
      <c r="E293" s="65"/>
      <c r="F293" s="65"/>
      <c r="G293" s="65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C9CF7-12DA-43D7-8197-D4B46CEBFC16}">
  <dimension ref="A1:Q86"/>
  <sheetViews>
    <sheetView tabSelected="1" topLeftCell="A52" workbookViewId="0">
      <selection activeCell="V79" sqref="V79"/>
    </sheetView>
  </sheetViews>
  <sheetFormatPr defaultRowHeight="15" x14ac:dyDescent="0.25"/>
  <cols>
    <col min="15" max="15" width="10.7109375" bestFit="1" customWidth="1"/>
  </cols>
  <sheetData>
    <row r="1" spans="1:17" x14ac:dyDescent="0.25">
      <c r="A1" s="85"/>
      <c r="B1" s="86" t="s">
        <v>47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x14ac:dyDescent="0.25">
      <c r="A2" s="88"/>
      <c r="B2" s="86" t="s">
        <v>565</v>
      </c>
      <c r="C2" s="89" t="s">
        <v>566</v>
      </c>
      <c r="D2" s="88"/>
      <c r="E2" s="90"/>
      <c r="F2" s="91"/>
      <c r="G2" s="91"/>
      <c r="H2" s="92"/>
      <c r="I2" s="88"/>
      <c r="J2" s="90" t="s">
        <v>567</v>
      </c>
      <c r="K2" s="91"/>
      <c r="L2" s="93"/>
      <c r="M2" s="94"/>
      <c r="N2" s="92"/>
      <c r="O2" s="89" t="s">
        <v>566</v>
      </c>
      <c r="P2" s="92"/>
      <c r="Q2" s="87"/>
    </row>
    <row r="3" spans="1:17" ht="57" x14ac:dyDescent="0.25">
      <c r="A3" s="95" t="s">
        <v>568</v>
      </c>
      <c r="B3" s="96">
        <v>2022</v>
      </c>
      <c r="C3" s="97" t="s">
        <v>569</v>
      </c>
      <c r="D3" s="98"/>
      <c r="E3" s="87"/>
      <c r="F3" s="87"/>
      <c r="G3" s="99" t="s">
        <v>570</v>
      </c>
      <c r="H3" s="99" t="s">
        <v>571</v>
      </c>
      <c r="I3" s="98"/>
      <c r="J3" s="99"/>
      <c r="K3" s="100" t="s">
        <v>572</v>
      </c>
      <c r="L3" s="101"/>
      <c r="M3" s="102" t="s">
        <v>573</v>
      </c>
      <c r="N3" s="103"/>
      <c r="O3" s="104">
        <v>44896</v>
      </c>
      <c r="P3" s="103"/>
      <c r="Q3" s="103"/>
    </row>
    <row r="4" spans="1:17" x14ac:dyDescent="0.25">
      <c r="A4" s="87"/>
      <c r="B4" s="105"/>
      <c r="C4" s="106"/>
      <c r="D4" s="106"/>
      <c r="E4" s="107"/>
      <c r="F4" s="107"/>
      <c r="G4" s="107"/>
      <c r="H4" s="107"/>
      <c r="I4" s="106"/>
      <c r="J4" s="107"/>
      <c r="K4" s="107"/>
      <c r="L4" s="107"/>
      <c r="M4" s="107"/>
      <c r="N4" s="107"/>
      <c r="O4" s="107"/>
      <c r="P4" s="107"/>
      <c r="Q4" s="87"/>
    </row>
    <row r="5" spans="1:17" x14ac:dyDescent="0.25">
      <c r="A5" s="108"/>
      <c r="B5" s="109" t="s">
        <v>574</v>
      </c>
      <c r="C5" s="110"/>
      <c r="D5" s="110"/>
      <c r="E5" s="111"/>
      <c r="F5" s="111"/>
      <c r="G5" s="111"/>
      <c r="H5" s="111"/>
      <c r="I5" s="110"/>
      <c r="J5" s="111"/>
      <c r="K5" s="111"/>
      <c r="L5" s="111"/>
      <c r="M5" s="111"/>
      <c r="N5" s="111"/>
      <c r="O5" s="111"/>
      <c r="P5" s="111"/>
      <c r="Q5" s="108"/>
    </row>
    <row r="6" spans="1:17" x14ac:dyDescent="0.25">
      <c r="A6" s="105"/>
      <c r="B6" s="105"/>
      <c r="C6" s="106"/>
      <c r="D6" s="106"/>
      <c r="E6" s="107"/>
      <c r="F6" s="107"/>
      <c r="G6" s="107"/>
      <c r="H6" s="107"/>
      <c r="I6" s="106"/>
      <c r="J6" s="107"/>
      <c r="K6" s="107"/>
      <c r="L6" s="107"/>
      <c r="M6" s="107"/>
      <c r="N6" s="107"/>
      <c r="O6" s="107"/>
      <c r="P6" s="107"/>
      <c r="Q6" s="87"/>
    </row>
    <row r="7" spans="1:17" x14ac:dyDescent="0.25">
      <c r="A7" s="105"/>
      <c r="B7" s="105"/>
      <c r="C7" s="106"/>
      <c r="D7" s="106"/>
      <c r="E7" s="107"/>
      <c r="F7" s="107"/>
      <c r="G7" s="107"/>
      <c r="H7" s="107"/>
      <c r="I7" s="106"/>
      <c r="J7" s="107"/>
      <c r="K7" s="87"/>
      <c r="L7" s="107"/>
      <c r="M7" s="107"/>
      <c r="N7" s="107"/>
      <c r="O7" s="112"/>
      <c r="P7" s="107"/>
      <c r="Q7" s="87"/>
    </row>
    <row r="8" spans="1:17" x14ac:dyDescent="0.25">
      <c r="A8" s="105" t="s">
        <v>575</v>
      </c>
      <c r="B8" s="105" t="s">
        <v>576</v>
      </c>
      <c r="C8" s="106">
        <v>11760.93</v>
      </c>
      <c r="D8" s="106"/>
      <c r="E8" s="107"/>
      <c r="F8" s="107"/>
      <c r="G8" s="107"/>
      <c r="H8" s="107"/>
      <c r="I8" s="106"/>
      <c r="J8" s="107"/>
      <c r="K8" s="107"/>
      <c r="L8" s="107"/>
      <c r="M8" s="107"/>
      <c r="N8" s="107"/>
      <c r="O8" s="112">
        <f>C8+G8-K8</f>
        <v>11760.93</v>
      </c>
      <c r="P8" s="107"/>
      <c r="Q8" s="87"/>
    </row>
    <row r="9" spans="1:17" x14ac:dyDescent="0.25">
      <c r="A9" s="105" t="s">
        <v>577</v>
      </c>
      <c r="B9" s="105" t="s">
        <v>578</v>
      </c>
      <c r="C9" s="106">
        <v>19297.86</v>
      </c>
      <c r="D9" s="106"/>
      <c r="E9" s="107"/>
      <c r="F9" s="107"/>
      <c r="G9" s="107"/>
      <c r="H9" s="107"/>
      <c r="I9" s="106"/>
      <c r="J9" s="107"/>
      <c r="K9" s="113">
        <v>5396.25</v>
      </c>
      <c r="L9" s="107"/>
      <c r="M9" s="107"/>
      <c r="N9" s="107"/>
      <c r="O9" s="112">
        <f>C9+G9-K9</f>
        <v>13901.61</v>
      </c>
      <c r="P9" s="107"/>
      <c r="Q9" s="87"/>
    </row>
    <row r="10" spans="1:17" ht="15.75" thickBot="1" x14ac:dyDescent="0.3">
      <c r="A10" s="105"/>
      <c r="B10" s="105"/>
      <c r="C10" s="106"/>
      <c r="D10" s="106"/>
      <c r="E10" s="107"/>
      <c r="F10" s="107"/>
      <c r="G10" s="107"/>
      <c r="H10" s="107"/>
      <c r="I10" s="106"/>
      <c r="J10" s="107"/>
      <c r="K10" s="107"/>
      <c r="L10" s="107"/>
      <c r="M10" s="107"/>
      <c r="N10" s="107"/>
      <c r="O10" s="112"/>
      <c r="P10" s="107"/>
      <c r="Q10" s="87"/>
    </row>
    <row r="11" spans="1:17" ht="15.75" thickBot="1" x14ac:dyDescent="0.3">
      <c r="A11" s="105" t="s">
        <v>579</v>
      </c>
      <c r="B11" s="105" t="s">
        <v>580</v>
      </c>
      <c r="C11" s="106">
        <v>194904.42</v>
      </c>
      <c r="D11" s="106"/>
      <c r="E11" s="107"/>
      <c r="F11" s="107"/>
      <c r="G11" s="107"/>
      <c r="H11" s="107"/>
      <c r="I11" s="106"/>
      <c r="J11" s="107"/>
      <c r="K11" s="107">
        <v>0</v>
      </c>
      <c r="L11" s="107"/>
      <c r="M11" s="107"/>
      <c r="N11" s="107"/>
      <c r="O11" s="112">
        <f>C11+G11-K11</f>
        <v>194904.42</v>
      </c>
      <c r="P11" s="107"/>
      <c r="Q11" s="114">
        <f>E11-J11</f>
        <v>0</v>
      </c>
    </row>
    <row r="12" spans="1:17" x14ac:dyDescent="0.25">
      <c r="A12" s="105" t="s">
        <v>581</v>
      </c>
      <c r="B12" s="105" t="s">
        <v>582</v>
      </c>
      <c r="C12" s="106">
        <v>110800.02</v>
      </c>
      <c r="D12" s="106"/>
      <c r="E12" s="87"/>
      <c r="F12" s="107"/>
      <c r="G12" s="113">
        <v>4525.67</v>
      </c>
      <c r="H12" s="107"/>
      <c r="I12" s="106"/>
      <c r="J12" s="107"/>
      <c r="K12" s="113">
        <v>111050</v>
      </c>
      <c r="L12" s="107"/>
      <c r="M12" s="107">
        <v>0.02</v>
      </c>
      <c r="N12" s="107"/>
      <c r="O12" s="112">
        <f>C12+G12-K12-M12</f>
        <v>4275.6700000000019</v>
      </c>
      <c r="P12" s="107"/>
      <c r="Q12" s="107"/>
    </row>
    <row r="13" spans="1:17" x14ac:dyDescent="0.25">
      <c r="A13" s="105" t="s">
        <v>583</v>
      </c>
      <c r="B13" s="105" t="s">
        <v>584</v>
      </c>
      <c r="C13" s="106">
        <v>40402.620000000003</v>
      </c>
      <c r="D13" s="106"/>
      <c r="E13" s="107"/>
      <c r="F13" s="107"/>
      <c r="G13" s="107"/>
      <c r="H13" s="107"/>
      <c r="I13" s="106"/>
      <c r="J13" s="107"/>
      <c r="K13" s="107"/>
      <c r="L13" s="107"/>
      <c r="M13" s="107"/>
      <c r="N13" s="107"/>
      <c r="O13" s="112">
        <f>C13+G13-K13-M13</f>
        <v>40402.620000000003</v>
      </c>
      <c r="P13" s="107"/>
      <c r="Q13" s="87"/>
    </row>
    <row r="14" spans="1:17" x14ac:dyDescent="0.25">
      <c r="A14" s="105" t="s">
        <v>585</v>
      </c>
      <c r="B14" s="105" t="s">
        <v>586</v>
      </c>
      <c r="C14" s="106"/>
      <c r="D14" s="106"/>
      <c r="E14" s="107"/>
      <c r="F14" s="107"/>
      <c r="G14" s="107"/>
      <c r="H14" s="107">
        <v>11400</v>
      </c>
      <c r="I14" s="106"/>
      <c r="J14" s="107"/>
      <c r="K14" s="107"/>
      <c r="L14" s="107"/>
      <c r="M14" s="107"/>
      <c r="N14" s="107"/>
      <c r="O14" s="112">
        <f>C14+G14+H14-K14</f>
        <v>11400</v>
      </c>
      <c r="P14" s="107"/>
      <c r="Q14" s="87"/>
    </row>
    <row r="15" spans="1:17" x14ac:dyDescent="0.25">
      <c r="A15" s="105"/>
      <c r="B15" s="105"/>
      <c r="C15" s="106"/>
      <c r="D15" s="106"/>
      <c r="E15" s="107"/>
      <c r="F15" s="107"/>
      <c r="G15" s="107"/>
      <c r="H15" s="107"/>
      <c r="I15" s="106"/>
      <c r="J15" s="107"/>
      <c r="K15" s="107"/>
      <c r="L15" s="107"/>
      <c r="M15" s="107"/>
      <c r="N15" s="107"/>
      <c r="O15" s="112"/>
      <c r="P15" s="107"/>
      <c r="Q15" s="87"/>
    </row>
    <row r="16" spans="1:17" x14ac:dyDescent="0.25">
      <c r="A16" s="85"/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107"/>
      <c r="M16" s="87"/>
      <c r="N16" s="87"/>
      <c r="O16" s="87"/>
      <c r="P16" s="87"/>
      <c r="Q16" s="87"/>
    </row>
    <row r="17" spans="1:17" x14ac:dyDescent="0.25">
      <c r="A17" s="105"/>
      <c r="B17" s="105" t="s">
        <v>587</v>
      </c>
      <c r="C17" s="106">
        <v>2000</v>
      </c>
      <c r="D17" s="106"/>
      <c r="E17" s="107"/>
      <c r="F17" s="107"/>
      <c r="G17" s="107"/>
      <c r="H17" s="107"/>
      <c r="I17" s="106"/>
      <c r="J17" s="107"/>
      <c r="K17" s="107"/>
      <c r="L17" s="107"/>
      <c r="M17" s="107"/>
      <c r="N17" s="107"/>
      <c r="O17" s="112">
        <f>C17+G17-K17</f>
        <v>2000</v>
      </c>
      <c r="P17" s="107"/>
      <c r="Q17" s="87"/>
    </row>
    <row r="18" spans="1:17" ht="15.75" thickBot="1" x14ac:dyDescent="0.3">
      <c r="A18" s="85" t="s">
        <v>588</v>
      </c>
      <c r="B18" s="115" t="s">
        <v>589</v>
      </c>
      <c r="C18" s="116">
        <v>6485.58</v>
      </c>
      <c r="D18" s="116"/>
      <c r="E18" s="117"/>
      <c r="F18" s="117"/>
      <c r="G18" s="118">
        <v>500</v>
      </c>
      <c r="H18" s="117"/>
      <c r="I18" s="116"/>
      <c r="J18" s="117"/>
      <c r="K18" s="118">
        <v>4826.5</v>
      </c>
      <c r="L18" s="117"/>
      <c r="M18" s="117"/>
      <c r="N18" s="117"/>
      <c r="O18" s="119">
        <f>C18+G18-K18</f>
        <v>2159.08</v>
      </c>
      <c r="P18" s="117"/>
      <c r="Q18" s="87"/>
    </row>
    <row r="19" spans="1:17" x14ac:dyDescent="0.25">
      <c r="A19" s="87"/>
      <c r="B19" s="120" t="s">
        <v>590</v>
      </c>
      <c r="C19" s="106"/>
      <c r="D19" s="106">
        <f>SUM(C6:C18)</f>
        <v>385651.43000000005</v>
      </c>
      <c r="E19" s="107"/>
      <c r="F19" s="107"/>
      <c r="G19" s="107"/>
      <c r="H19" s="107"/>
      <c r="I19" s="106"/>
      <c r="J19" s="107"/>
      <c r="K19" s="107"/>
      <c r="L19" s="99"/>
      <c r="M19" s="107"/>
      <c r="N19" s="107"/>
      <c r="O19" s="107"/>
      <c r="P19" s="113">
        <f>SUM(O8:O18)</f>
        <v>280804.33000000007</v>
      </c>
      <c r="Q19" s="121"/>
    </row>
    <row r="20" spans="1:17" ht="15.75" thickBot="1" x14ac:dyDescent="0.3">
      <c r="A20" s="87"/>
      <c r="B20" s="105"/>
      <c r="C20" s="106"/>
      <c r="D20" s="106"/>
      <c r="E20" s="107"/>
      <c r="F20" s="107"/>
      <c r="G20" s="107"/>
      <c r="H20" s="107"/>
      <c r="I20" s="106"/>
      <c r="J20" s="107"/>
      <c r="K20" s="107"/>
      <c r="L20" s="107"/>
      <c r="M20" s="107"/>
      <c r="N20" s="107"/>
      <c r="O20" s="107"/>
      <c r="P20" s="107"/>
      <c r="Q20" s="87"/>
    </row>
    <row r="21" spans="1:17" ht="15.75" thickBot="1" x14ac:dyDescent="0.3">
      <c r="A21" s="108"/>
      <c r="B21" s="122" t="s">
        <v>591</v>
      </c>
      <c r="C21" s="110"/>
      <c r="D21" s="110"/>
      <c r="E21" s="111"/>
      <c r="F21" s="111"/>
      <c r="G21" s="111"/>
      <c r="H21" s="111"/>
      <c r="I21" s="110"/>
      <c r="J21" s="111"/>
      <c r="K21" s="111"/>
      <c r="L21" s="111"/>
      <c r="M21" s="111"/>
      <c r="N21" s="111"/>
      <c r="O21" s="111"/>
      <c r="P21" s="111"/>
      <c r="Q21" s="108"/>
    </row>
    <row r="22" spans="1:17" x14ac:dyDescent="0.25">
      <c r="A22" s="123"/>
      <c r="B22" s="124"/>
      <c r="C22" s="106"/>
      <c r="D22" s="106"/>
      <c r="E22" s="107"/>
      <c r="F22" s="107"/>
      <c r="G22" s="107"/>
      <c r="H22" s="107"/>
      <c r="I22" s="106"/>
      <c r="J22" s="107"/>
      <c r="K22" s="107"/>
      <c r="L22" s="87"/>
      <c r="M22" s="107"/>
      <c r="N22" s="107"/>
      <c r="O22" s="112"/>
      <c r="P22" s="107"/>
      <c r="Q22" s="87"/>
    </row>
    <row r="23" spans="1:17" x14ac:dyDescent="0.25">
      <c r="A23" s="123"/>
      <c r="B23" s="105"/>
      <c r="C23" s="106"/>
      <c r="D23" s="106"/>
      <c r="E23" s="107"/>
      <c r="F23" s="107"/>
      <c r="G23" s="107"/>
      <c r="H23" s="125"/>
      <c r="I23" s="106"/>
      <c r="J23" s="107"/>
      <c r="K23" s="87"/>
      <c r="L23" s="107"/>
      <c r="M23" s="107"/>
      <c r="N23" s="107"/>
      <c r="O23" s="112"/>
      <c r="P23" s="107"/>
      <c r="Q23" s="87"/>
    </row>
    <row r="24" spans="1:17" x14ac:dyDescent="0.25">
      <c r="A24" s="123"/>
      <c r="B24" s="105" t="s">
        <v>592</v>
      </c>
      <c r="C24" s="106">
        <v>40366.68</v>
      </c>
      <c r="D24" s="106"/>
      <c r="E24" s="107"/>
      <c r="F24" s="107"/>
      <c r="G24" s="126">
        <v>12744.8</v>
      </c>
      <c r="H24" s="125">
        <v>49639.69</v>
      </c>
      <c r="I24" s="106"/>
      <c r="J24" s="107"/>
      <c r="K24" s="126">
        <v>77619.91</v>
      </c>
      <c r="L24" s="107"/>
      <c r="M24" s="107"/>
      <c r="N24" s="107"/>
      <c r="O24" s="112">
        <f>C24+G24+H24-K24</f>
        <v>25131.259999999995</v>
      </c>
      <c r="P24" s="107"/>
      <c r="Q24" s="87"/>
    </row>
    <row r="25" spans="1:17" x14ac:dyDescent="0.25">
      <c r="A25" s="123" t="s">
        <v>593</v>
      </c>
      <c r="B25" s="105" t="s">
        <v>594</v>
      </c>
      <c r="C25" s="106"/>
      <c r="D25" s="106"/>
      <c r="E25" s="107"/>
      <c r="F25" s="107"/>
      <c r="G25" s="113">
        <v>42792</v>
      </c>
      <c r="H25" s="107"/>
      <c r="I25" s="106"/>
      <c r="J25" s="107"/>
      <c r="K25" s="87"/>
      <c r="L25" s="107"/>
      <c r="M25" s="126">
        <v>42792</v>
      </c>
      <c r="N25" s="107"/>
      <c r="O25" s="112">
        <f>C25+G25-M25</f>
        <v>0</v>
      </c>
      <c r="P25" s="107"/>
      <c r="Q25" s="87"/>
    </row>
    <row r="26" spans="1:17" x14ac:dyDescent="0.25">
      <c r="A26" s="123"/>
      <c r="B26" s="105"/>
      <c r="C26" s="106"/>
      <c r="D26" s="106"/>
      <c r="E26" s="107"/>
      <c r="F26" s="107"/>
      <c r="G26" s="107"/>
      <c r="H26" s="125"/>
      <c r="I26" s="106"/>
      <c r="J26" s="107"/>
      <c r="K26" s="107"/>
      <c r="L26" s="107"/>
      <c r="M26" s="107"/>
      <c r="N26" s="107"/>
      <c r="O26" s="112"/>
      <c r="P26" s="107"/>
      <c r="Q26" s="87"/>
    </row>
    <row r="27" spans="1:17" x14ac:dyDescent="0.25">
      <c r="A27" s="123"/>
      <c r="B27" s="105"/>
      <c r="C27" s="106"/>
      <c r="D27" s="106"/>
      <c r="E27" s="107"/>
      <c r="F27" s="107"/>
      <c r="G27" s="107"/>
      <c r="H27" s="125"/>
      <c r="I27" s="106"/>
      <c r="J27" s="107"/>
      <c r="K27" s="107"/>
      <c r="L27" s="107"/>
      <c r="M27" s="107"/>
      <c r="N27" s="107"/>
      <c r="O27" s="112"/>
      <c r="P27" s="107"/>
      <c r="Q27" s="87"/>
    </row>
    <row r="28" spans="1:17" x14ac:dyDescent="0.25">
      <c r="A28" s="123"/>
      <c r="B28" s="105"/>
      <c r="C28" s="106"/>
      <c r="D28" s="106"/>
      <c r="E28" s="107"/>
      <c r="F28" s="107"/>
      <c r="G28" s="107"/>
      <c r="H28" s="125"/>
      <c r="I28" s="106"/>
      <c r="J28" s="107"/>
      <c r="K28" s="107"/>
      <c r="L28" s="107"/>
      <c r="M28" s="107"/>
      <c r="N28" s="107"/>
      <c r="O28" s="112"/>
      <c r="P28" s="107"/>
      <c r="Q28" s="87"/>
    </row>
    <row r="29" spans="1:17" x14ac:dyDescent="0.25">
      <c r="A29" s="123"/>
      <c r="B29" s="105"/>
      <c r="C29" s="106"/>
      <c r="D29" s="106"/>
      <c r="E29" s="107"/>
      <c r="F29" s="107"/>
      <c r="G29" s="107"/>
      <c r="H29" s="125"/>
      <c r="I29" s="106"/>
      <c r="J29" s="107"/>
      <c r="K29" s="107"/>
      <c r="L29" s="107"/>
      <c r="M29" s="107"/>
      <c r="N29" s="107"/>
      <c r="O29" s="112"/>
      <c r="P29" s="107"/>
      <c r="Q29" s="87"/>
    </row>
    <row r="30" spans="1:17" x14ac:dyDescent="0.25">
      <c r="A30" s="123" t="s">
        <v>595</v>
      </c>
      <c r="B30" s="105" t="s">
        <v>596</v>
      </c>
      <c r="C30" s="106">
        <v>29341.63</v>
      </c>
      <c r="D30" s="106"/>
      <c r="E30" s="107"/>
      <c r="F30" s="107"/>
      <c r="G30" s="107"/>
      <c r="H30" s="107"/>
      <c r="I30" s="106"/>
      <c r="J30" s="107"/>
      <c r="K30" s="113">
        <v>23530.73</v>
      </c>
      <c r="L30" s="107"/>
      <c r="M30" s="107"/>
      <c r="N30" s="107"/>
      <c r="O30" s="112">
        <f>C30+G30-K30</f>
        <v>5810.9000000000015</v>
      </c>
      <c r="P30" s="107"/>
      <c r="Q30" s="87"/>
    </row>
    <row r="31" spans="1:17" x14ac:dyDescent="0.25">
      <c r="A31" s="123" t="s">
        <v>597</v>
      </c>
      <c r="B31" s="105" t="s">
        <v>598</v>
      </c>
      <c r="C31" s="106"/>
      <c r="D31" s="106"/>
      <c r="E31" s="107"/>
      <c r="F31" s="107"/>
      <c r="G31" s="107">
        <v>0</v>
      </c>
      <c r="H31" s="107"/>
      <c r="I31" s="106"/>
      <c r="J31" s="107"/>
      <c r="K31" s="107"/>
      <c r="L31" s="107"/>
      <c r="M31" s="107"/>
      <c r="N31" s="107"/>
      <c r="O31" s="112">
        <f>C31+G31-K31</f>
        <v>0</v>
      </c>
      <c r="P31" s="107"/>
      <c r="Q31" s="87"/>
    </row>
    <row r="32" spans="1:17" x14ac:dyDescent="0.25">
      <c r="A32" s="123"/>
      <c r="B32" s="105"/>
      <c r="C32" s="106"/>
      <c r="D32" s="106"/>
      <c r="E32" s="107"/>
      <c r="F32" s="107"/>
      <c r="G32" s="107"/>
      <c r="H32" s="107"/>
      <c r="I32" s="106"/>
      <c r="J32" s="107"/>
      <c r="K32" s="107"/>
      <c r="L32" s="107"/>
      <c r="M32" s="107"/>
      <c r="N32" s="107"/>
      <c r="O32" s="112"/>
      <c r="P32" s="107"/>
      <c r="Q32" s="87"/>
    </row>
    <row r="33" spans="1:17" x14ac:dyDescent="0.25">
      <c r="A33" s="123" t="s">
        <v>599</v>
      </c>
      <c r="B33" s="105" t="s">
        <v>600</v>
      </c>
      <c r="C33" s="106"/>
      <c r="D33" s="106"/>
      <c r="E33" s="107"/>
      <c r="F33" s="107"/>
      <c r="G33" s="113">
        <v>7500</v>
      </c>
      <c r="H33" s="107"/>
      <c r="I33" s="106"/>
      <c r="J33" s="107"/>
      <c r="K33" s="126">
        <v>3214.15</v>
      </c>
      <c r="L33" s="107"/>
      <c r="M33" s="107"/>
      <c r="N33" s="107"/>
      <c r="O33" s="112"/>
      <c r="P33" s="107"/>
      <c r="Q33" s="87"/>
    </row>
    <row r="34" spans="1:17" ht="15.75" thickBot="1" x14ac:dyDescent="0.3">
      <c r="A34" s="123" t="s">
        <v>601</v>
      </c>
      <c r="B34" s="105" t="s">
        <v>602</v>
      </c>
      <c r="C34" s="106"/>
      <c r="D34" s="106"/>
      <c r="E34" s="107"/>
      <c r="F34" s="107"/>
      <c r="G34" s="117"/>
      <c r="H34" s="117"/>
      <c r="I34" s="116"/>
      <c r="J34" s="117"/>
      <c r="K34" s="127">
        <v>1425.5</v>
      </c>
      <c r="L34" s="117"/>
      <c r="M34" s="117"/>
      <c r="N34" s="117"/>
      <c r="O34" s="119"/>
      <c r="P34" s="107"/>
      <c r="Q34" s="87"/>
    </row>
    <row r="35" spans="1:17" x14ac:dyDescent="0.25">
      <c r="A35" s="85"/>
      <c r="B35" s="85"/>
      <c r="C35" s="87"/>
      <c r="D35" s="87"/>
      <c r="E35" s="87"/>
      <c r="F35" s="87"/>
      <c r="G35" s="87"/>
      <c r="H35" s="107">
        <f>SUM(G33:G34)</f>
        <v>7500</v>
      </c>
      <c r="I35" s="87"/>
      <c r="J35" s="87"/>
      <c r="K35" s="87"/>
      <c r="L35" s="107">
        <f>SUM(K33:K34)</f>
        <v>4639.6499999999996</v>
      </c>
      <c r="M35" s="87"/>
      <c r="N35" s="87"/>
      <c r="O35" s="112">
        <f>H35-L35</f>
        <v>2860.3500000000004</v>
      </c>
      <c r="P35" s="87"/>
      <c r="Q35" s="87"/>
    </row>
    <row r="36" spans="1:17" x14ac:dyDescent="0.25">
      <c r="A36" s="85"/>
      <c r="B36" s="85"/>
      <c r="C36" s="87"/>
      <c r="D36" s="87"/>
      <c r="E36" s="87"/>
      <c r="F36" s="87"/>
      <c r="G36" s="87"/>
      <c r="H36" s="107"/>
      <c r="I36" s="87"/>
      <c r="J36" s="87"/>
      <c r="K36" s="87"/>
      <c r="L36" s="107"/>
      <c r="M36" s="87"/>
      <c r="N36" s="87"/>
      <c r="O36" s="87"/>
      <c r="P36" s="87"/>
      <c r="Q36" s="87"/>
    </row>
    <row r="37" spans="1:17" x14ac:dyDescent="0.25">
      <c r="A37" s="123" t="s">
        <v>603</v>
      </c>
      <c r="B37" s="105" t="s">
        <v>604</v>
      </c>
      <c r="C37" s="106"/>
      <c r="D37" s="106"/>
      <c r="E37" s="107"/>
      <c r="F37" s="107"/>
      <c r="G37" s="113">
        <v>4033.31</v>
      </c>
      <c r="H37" s="107"/>
      <c r="I37" s="106"/>
      <c r="J37" s="107"/>
      <c r="K37" s="126">
        <v>5914.71</v>
      </c>
      <c r="L37" s="107"/>
      <c r="M37" s="107">
        <v>1881.4</v>
      </c>
      <c r="N37" s="107"/>
      <c r="O37" s="112">
        <f>C37+G37-K37+M37</f>
        <v>0</v>
      </c>
      <c r="P37" s="107"/>
      <c r="Q37" s="87"/>
    </row>
    <row r="38" spans="1:17" x14ac:dyDescent="0.25">
      <c r="A38" s="123" t="s">
        <v>605</v>
      </c>
      <c r="B38" s="105" t="s">
        <v>606</v>
      </c>
      <c r="C38" s="106"/>
      <c r="D38" s="106"/>
      <c r="E38" s="107"/>
      <c r="F38" s="107"/>
      <c r="G38" s="113">
        <v>5750</v>
      </c>
      <c r="H38" s="107"/>
      <c r="I38" s="106"/>
      <c r="J38" s="107"/>
      <c r="K38" s="113">
        <v>4893.6499999999996</v>
      </c>
      <c r="L38" s="107"/>
      <c r="M38" s="107"/>
      <c r="N38" s="107"/>
      <c r="O38" s="112">
        <f t="shared" ref="O38" si="0">C38+G38-K38</f>
        <v>856.35000000000036</v>
      </c>
      <c r="P38" s="107"/>
      <c r="Q38" s="87"/>
    </row>
    <row r="39" spans="1:17" x14ac:dyDescent="0.25">
      <c r="A39" s="105" t="s">
        <v>607</v>
      </c>
      <c r="B39" s="105" t="s">
        <v>608</v>
      </c>
      <c r="C39" s="128">
        <v>180.43</v>
      </c>
      <c r="D39" s="128"/>
      <c r="E39" s="107"/>
      <c r="F39" s="107"/>
      <c r="G39" s="107"/>
      <c r="H39" s="87"/>
      <c r="I39" s="107"/>
      <c r="J39" s="107"/>
      <c r="K39" s="107"/>
      <c r="L39" s="87"/>
      <c r="M39" s="107"/>
      <c r="N39" s="107"/>
      <c r="O39" s="112">
        <f>C39+G39-K39</f>
        <v>180.43</v>
      </c>
      <c r="P39" s="107"/>
      <c r="Q39" s="87"/>
    </row>
    <row r="40" spans="1:17" ht="15.75" thickBot="1" x14ac:dyDescent="0.3">
      <c r="A40" s="123"/>
      <c r="B40" s="105"/>
      <c r="C40" s="106"/>
      <c r="D40" s="106">
        <f>SUM(C23:C39)</f>
        <v>69888.739999999991</v>
      </c>
      <c r="E40" s="128"/>
      <c r="F40" s="107"/>
      <c r="G40" s="107"/>
      <c r="H40" s="107"/>
      <c r="I40" s="106"/>
      <c r="J40" s="107"/>
      <c r="K40" s="107"/>
      <c r="L40" s="107"/>
      <c r="M40" s="107"/>
      <c r="N40" s="107"/>
      <c r="O40" s="117"/>
      <c r="P40" s="117"/>
      <c r="Q40" s="87"/>
    </row>
    <row r="41" spans="1:17" x14ac:dyDescent="0.25">
      <c r="A41" s="123"/>
      <c r="B41" s="105"/>
      <c r="C41" s="106"/>
      <c r="D41" s="106"/>
      <c r="E41" s="107"/>
      <c r="F41" s="107"/>
      <c r="G41" s="107"/>
      <c r="H41" s="107"/>
      <c r="I41" s="106"/>
      <c r="J41" s="107"/>
      <c r="K41" s="107"/>
      <c r="L41" s="107"/>
      <c r="M41" s="107"/>
      <c r="N41" s="107"/>
      <c r="O41" s="107"/>
      <c r="P41" s="107">
        <f>SUM(O24:O40)</f>
        <v>34839.289999999994</v>
      </c>
      <c r="Q41" s="87"/>
    </row>
    <row r="42" spans="1:17" x14ac:dyDescent="0.25">
      <c r="A42" s="85"/>
      <c r="B42" s="85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17" ht="15.75" thickBot="1" x14ac:dyDescent="0.3">
      <c r="A43" s="123"/>
      <c r="B43" s="105"/>
      <c r="C43" s="106"/>
      <c r="D43" s="106"/>
      <c r="E43" s="107"/>
      <c r="F43" s="107"/>
      <c r="G43" s="107"/>
      <c r="H43" s="107"/>
      <c r="I43" s="106"/>
      <c r="J43" s="107"/>
      <c r="K43" s="107"/>
      <c r="L43" s="107"/>
      <c r="M43" s="107"/>
      <c r="N43" s="107"/>
      <c r="O43" s="107"/>
      <c r="P43" s="87"/>
      <c r="Q43" s="87"/>
    </row>
    <row r="44" spans="1:17" ht="15.75" thickBot="1" x14ac:dyDescent="0.3">
      <c r="A44" s="123"/>
      <c r="B44" s="122" t="s">
        <v>609</v>
      </c>
      <c r="C44" s="106"/>
      <c r="D44" s="106"/>
      <c r="E44" s="107"/>
      <c r="F44" s="107"/>
      <c r="G44" s="107"/>
      <c r="H44" s="107"/>
      <c r="I44" s="106"/>
      <c r="J44" s="107"/>
      <c r="K44" s="107"/>
      <c r="L44" s="107"/>
      <c r="M44" s="107"/>
      <c r="N44" s="107"/>
      <c r="O44" s="107"/>
      <c r="P44" s="129"/>
      <c r="Q44" s="87"/>
    </row>
    <row r="45" spans="1:17" x14ac:dyDescent="0.25">
      <c r="A45" s="105"/>
      <c r="B45" s="105"/>
      <c r="C45" s="106"/>
      <c r="D45" s="106"/>
      <c r="E45" s="107"/>
      <c r="F45" s="107"/>
      <c r="G45" s="107"/>
      <c r="H45" s="107"/>
      <c r="I45" s="106"/>
      <c r="J45" s="107"/>
      <c r="K45" s="107"/>
      <c r="L45" s="107"/>
      <c r="M45" s="107"/>
      <c r="N45" s="107"/>
      <c r="O45" s="112"/>
      <c r="P45" s="107"/>
      <c r="Q45" s="87"/>
    </row>
    <row r="46" spans="1:17" x14ac:dyDescent="0.25">
      <c r="A46" s="105"/>
      <c r="B46" s="105"/>
      <c r="C46" s="106"/>
      <c r="D46" s="106"/>
      <c r="E46" s="107"/>
      <c r="F46" s="107"/>
      <c r="G46" s="107"/>
      <c r="H46" s="107"/>
      <c r="I46" s="106"/>
      <c r="J46" s="107"/>
      <c r="K46" s="107"/>
      <c r="L46" s="107"/>
      <c r="M46" s="107"/>
      <c r="N46" s="107"/>
      <c r="O46" s="112"/>
      <c r="P46" s="107"/>
      <c r="Q46" s="87"/>
    </row>
    <row r="47" spans="1:17" x14ac:dyDescent="0.25">
      <c r="A47" s="85"/>
      <c r="B47" s="85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1:17" x14ac:dyDescent="0.25">
      <c r="A48" s="105" t="s">
        <v>610</v>
      </c>
      <c r="B48" s="105" t="s">
        <v>611</v>
      </c>
      <c r="C48" s="106">
        <v>9107.3700000000008</v>
      </c>
      <c r="D48" s="106"/>
      <c r="E48" s="107"/>
      <c r="F48" s="107"/>
      <c r="G48" s="113">
        <v>15236.57</v>
      </c>
      <c r="H48" s="107"/>
      <c r="I48" s="106"/>
      <c r="J48" s="107"/>
      <c r="K48" s="113">
        <v>16150</v>
      </c>
      <c r="L48" s="107"/>
      <c r="M48" s="107">
        <v>0.02</v>
      </c>
      <c r="N48" s="107"/>
      <c r="O48" s="112">
        <f>C48+G48-K48+M48</f>
        <v>8193.9600000000028</v>
      </c>
      <c r="P48" s="107"/>
      <c r="Q48" s="87"/>
    </row>
    <row r="49" spans="1:17" x14ac:dyDescent="0.25">
      <c r="A49" s="105" t="s">
        <v>612</v>
      </c>
      <c r="B49" s="105" t="s">
        <v>613</v>
      </c>
      <c r="C49" s="106">
        <v>4188.4799999999996</v>
      </c>
      <c r="D49" s="106"/>
      <c r="E49" s="107"/>
      <c r="F49" s="107"/>
      <c r="G49" s="107"/>
      <c r="H49" s="107"/>
      <c r="I49" s="106"/>
      <c r="J49" s="107"/>
      <c r="K49" s="107"/>
      <c r="L49" s="107"/>
      <c r="M49" s="107"/>
      <c r="N49" s="107"/>
      <c r="O49" s="112">
        <f t="shared" ref="O49:O52" si="1">C49+G49-K49</f>
        <v>4188.4799999999996</v>
      </c>
      <c r="P49" s="107"/>
      <c r="Q49" s="87"/>
    </row>
    <row r="50" spans="1:17" x14ac:dyDescent="0.25">
      <c r="A50" s="105"/>
      <c r="B50" s="105" t="s">
        <v>614</v>
      </c>
      <c r="C50" s="106"/>
      <c r="D50" s="106"/>
      <c r="E50" s="107"/>
      <c r="F50" s="107"/>
      <c r="G50" s="113">
        <v>119</v>
      </c>
      <c r="H50" s="107"/>
      <c r="I50" s="106"/>
      <c r="J50" s="107"/>
      <c r="K50" s="107"/>
      <c r="L50" s="107"/>
      <c r="M50" s="107"/>
      <c r="N50" s="107"/>
      <c r="O50" s="112">
        <f t="shared" si="1"/>
        <v>119</v>
      </c>
      <c r="P50" s="107"/>
      <c r="Q50" s="87"/>
    </row>
    <row r="51" spans="1:17" x14ac:dyDescent="0.25">
      <c r="A51" s="105" t="s">
        <v>615</v>
      </c>
      <c r="B51" s="105" t="s">
        <v>616</v>
      </c>
      <c r="C51" s="106">
        <v>5575.67</v>
      </c>
      <c r="D51" s="106"/>
      <c r="E51" s="107"/>
      <c r="F51" s="107"/>
      <c r="G51" s="107"/>
      <c r="H51" s="107"/>
      <c r="I51" s="106"/>
      <c r="J51" s="107"/>
      <c r="K51" s="107"/>
      <c r="L51" s="107"/>
      <c r="M51" s="107"/>
      <c r="N51" s="107"/>
      <c r="O51" s="112">
        <f t="shared" si="1"/>
        <v>5575.67</v>
      </c>
      <c r="P51" s="107"/>
      <c r="Q51" s="87"/>
    </row>
    <row r="52" spans="1:17" ht="15.75" thickBot="1" x14ac:dyDescent="0.3">
      <c r="A52" s="105" t="s">
        <v>612</v>
      </c>
      <c r="B52" s="105" t="s">
        <v>617</v>
      </c>
      <c r="C52" s="116">
        <v>7625.26</v>
      </c>
      <c r="D52" s="116"/>
      <c r="E52" s="107"/>
      <c r="F52" s="107"/>
      <c r="G52" s="107"/>
      <c r="H52" s="107"/>
      <c r="I52" s="106"/>
      <c r="J52" s="107"/>
      <c r="K52" s="107"/>
      <c r="L52" s="107"/>
      <c r="M52" s="107"/>
      <c r="N52" s="107"/>
      <c r="O52" s="112">
        <f t="shared" si="1"/>
        <v>7625.26</v>
      </c>
      <c r="P52" s="107"/>
      <c r="Q52" s="87"/>
    </row>
    <row r="53" spans="1:17" x14ac:dyDescent="0.25">
      <c r="A53" s="85"/>
      <c r="B53" s="85"/>
      <c r="C53" s="87"/>
      <c r="D53" s="107">
        <v>26496.78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1:17" x14ac:dyDescent="0.25">
      <c r="A54" s="105" t="s">
        <v>618</v>
      </c>
      <c r="B54" s="105" t="s">
        <v>619</v>
      </c>
      <c r="C54" s="106">
        <v>10</v>
      </c>
      <c r="D54" s="106"/>
      <c r="E54" s="107"/>
      <c r="F54" s="107"/>
      <c r="G54" s="113">
        <v>3428</v>
      </c>
      <c r="H54" s="107"/>
      <c r="I54" s="106"/>
      <c r="J54" s="107"/>
      <c r="K54" s="107">
        <v>2781.36</v>
      </c>
      <c r="L54" s="107"/>
      <c r="M54" s="107"/>
      <c r="N54" s="107"/>
      <c r="O54" s="112">
        <f>C54+E54-J54-L54+M54</f>
        <v>10</v>
      </c>
      <c r="P54" s="107"/>
      <c r="Q54" s="87"/>
    </row>
    <row r="55" spans="1:17" x14ac:dyDescent="0.25">
      <c r="A55" s="105" t="s">
        <v>620</v>
      </c>
      <c r="B55" s="105" t="s">
        <v>621</v>
      </c>
      <c r="C55" s="107">
        <v>9435.2999999999993</v>
      </c>
      <c r="D55" s="107"/>
      <c r="E55" s="107"/>
      <c r="F55" s="107"/>
      <c r="G55" s="126">
        <v>340</v>
      </c>
      <c r="H55" s="107"/>
      <c r="I55" s="107"/>
      <c r="J55" s="107"/>
      <c r="K55" s="107"/>
      <c r="L55" s="107"/>
      <c r="M55" s="107"/>
      <c r="N55" s="107"/>
      <c r="O55" s="112">
        <f t="shared" ref="O55:O57" si="2">C55+G55-K55</f>
        <v>9775.2999999999993</v>
      </c>
      <c r="P55" s="107"/>
      <c r="Q55" s="87"/>
    </row>
    <row r="56" spans="1:17" x14ac:dyDescent="0.25">
      <c r="A56" s="105" t="s">
        <v>622</v>
      </c>
      <c r="B56" s="105" t="s">
        <v>623</v>
      </c>
      <c r="C56" s="106">
        <v>2025.28</v>
      </c>
      <c r="D56" s="106"/>
      <c r="E56" s="107"/>
      <c r="F56" s="107"/>
      <c r="G56" s="107"/>
      <c r="H56" s="107"/>
      <c r="I56" s="106"/>
      <c r="J56" s="107"/>
      <c r="K56" s="113">
        <v>1000</v>
      </c>
      <c r="L56" s="107"/>
      <c r="M56" s="107"/>
      <c r="N56" s="107"/>
      <c r="O56" s="112">
        <f t="shared" si="2"/>
        <v>1025.28</v>
      </c>
      <c r="P56" s="107"/>
      <c r="Q56" s="87"/>
    </row>
    <row r="57" spans="1:17" x14ac:dyDescent="0.25">
      <c r="A57" s="105" t="s">
        <v>624</v>
      </c>
      <c r="B57" s="105" t="s">
        <v>625</v>
      </c>
      <c r="C57" s="106">
        <v>2340.9499999999998</v>
      </c>
      <c r="D57" s="106"/>
      <c r="E57" s="107"/>
      <c r="F57" s="107"/>
      <c r="G57" s="107"/>
      <c r="H57" s="107"/>
      <c r="I57" s="106"/>
      <c r="J57" s="107"/>
      <c r="K57" s="107"/>
      <c r="L57" s="107"/>
      <c r="M57" s="107"/>
      <c r="N57" s="107"/>
      <c r="O57" s="112">
        <f t="shared" si="2"/>
        <v>2340.9499999999998</v>
      </c>
      <c r="P57" s="107"/>
      <c r="Q57" s="87"/>
    </row>
    <row r="58" spans="1:17" x14ac:dyDescent="0.25">
      <c r="A58" s="85"/>
      <c r="B58" s="85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1:17" x14ac:dyDescent="0.25">
      <c r="A59" s="105"/>
      <c r="B59" s="105" t="s">
        <v>626</v>
      </c>
      <c r="C59" s="106">
        <v>335.93000000000029</v>
      </c>
      <c r="D59" s="106"/>
      <c r="E59" s="107"/>
      <c r="F59" s="107"/>
      <c r="G59" s="107"/>
      <c r="H59" s="107"/>
      <c r="I59" s="106"/>
      <c r="J59" s="107"/>
      <c r="K59" s="107"/>
      <c r="L59" s="107"/>
      <c r="M59" s="107"/>
      <c r="N59" s="107"/>
      <c r="O59" s="112">
        <f t="shared" ref="O59:O60" si="3">C59+G59-K59</f>
        <v>335.93000000000029</v>
      </c>
      <c r="P59" s="107"/>
      <c r="Q59" s="87"/>
    </row>
    <row r="60" spans="1:17" ht="15.75" thickBot="1" x14ac:dyDescent="0.3">
      <c r="A60" s="105"/>
      <c r="B60" s="105" t="s">
        <v>627</v>
      </c>
      <c r="C60" s="116">
        <v>1342.15</v>
      </c>
      <c r="D60" s="116"/>
      <c r="E60" s="107"/>
      <c r="F60" s="107"/>
      <c r="G60" s="107"/>
      <c r="H60" s="107"/>
      <c r="I60" s="106"/>
      <c r="J60" s="107"/>
      <c r="K60" s="107"/>
      <c r="L60" s="107"/>
      <c r="M60" s="107"/>
      <c r="N60" s="107"/>
      <c r="O60" s="112">
        <f t="shared" si="3"/>
        <v>1342.15</v>
      </c>
      <c r="P60" s="107"/>
      <c r="Q60" s="87"/>
    </row>
    <row r="61" spans="1:17" x14ac:dyDescent="0.25">
      <c r="A61" s="85"/>
      <c r="B61" s="85"/>
      <c r="C61" s="87"/>
      <c r="D61" s="107">
        <f>SUM(C54:C60)</f>
        <v>15489.609999999999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1:17" x14ac:dyDescent="0.25">
      <c r="A62" s="105"/>
      <c r="B62" s="105"/>
      <c r="C62" s="106"/>
      <c r="D62" s="106"/>
      <c r="E62" s="107"/>
      <c r="F62" s="107"/>
      <c r="G62" s="107"/>
      <c r="H62" s="107"/>
      <c r="I62" s="106"/>
      <c r="J62" s="107"/>
      <c r="K62" s="107"/>
      <c r="L62" s="107"/>
      <c r="M62" s="107"/>
      <c r="N62" s="107"/>
      <c r="O62" s="112">
        <f>C62+E62-J62-L62</f>
        <v>0</v>
      </c>
      <c r="P62" s="129">
        <f>SUM(O46:O62)</f>
        <v>40531.979999999996</v>
      </c>
      <c r="Q62" s="87"/>
    </row>
    <row r="63" spans="1:17" x14ac:dyDescent="0.25">
      <c r="A63" s="105"/>
      <c r="B63" s="120"/>
      <c r="C63" s="106"/>
      <c r="D63" s="106"/>
      <c r="E63" s="107"/>
      <c r="F63" s="107"/>
      <c r="G63" s="107"/>
      <c r="H63" s="107"/>
      <c r="I63" s="106"/>
      <c r="J63" s="107"/>
      <c r="K63" s="107"/>
      <c r="L63" s="107"/>
      <c r="M63" s="107"/>
      <c r="N63" s="107"/>
      <c r="O63" s="107"/>
      <c r="P63" s="107"/>
      <c r="Q63" s="87"/>
    </row>
    <row r="64" spans="1:17" ht="15.75" thickBot="1" x14ac:dyDescent="0.3">
      <c r="A64" s="105"/>
      <c r="B64" s="106" t="s">
        <v>628</v>
      </c>
      <c r="C64" s="116">
        <v>21651.59</v>
      </c>
      <c r="D64" s="116"/>
      <c r="E64" s="107"/>
      <c r="F64" s="107"/>
      <c r="G64" s="107"/>
      <c r="H64" s="107"/>
      <c r="I64" s="106"/>
      <c r="J64" s="107"/>
      <c r="K64" s="107"/>
      <c r="L64" s="107"/>
      <c r="M64" s="107"/>
      <c r="N64" s="107"/>
      <c r="O64" s="112">
        <f>C64+G64-K64</f>
        <v>21651.59</v>
      </c>
      <c r="P64" s="130">
        <f>O64</f>
        <v>21651.59</v>
      </c>
      <c r="Q64" s="131"/>
    </row>
    <row r="65" spans="1:17" ht="15.75" thickBot="1" x14ac:dyDescent="0.3">
      <c r="A65" s="105"/>
      <c r="B65" s="105"/>
      <c r="C65" s="106"/>
      <c r="D65" s="106">
        <f>C64</f>
        <v>21651.59</v>
      </c>
      <c r="E65" s="107"/>
      <c r="F65" s="107"/>
      <c r="G65" s="107"/>
      <c r="H65" s="107"/>
      <c r="I65" s="106"/>
      <c r="J65" s="107"/>
      <c r="K65" s="107"/>
      <c r="L65" s="107"/>
      <c r="M65" s="107"/>
      <c r="N65" s="107"/>
      <c r="O65" s="107"/>
      <c r="P65" s="107"/>
      <c r="Q65" s="107">
        <f>SUM(P41:P64)</f>
        <v>97022.859999999986</v>
      </c>
    </row>
    <row r="66" spans="1:17" ht="15.75" thickBot="1" x14ac:dyDescent="0.3">
      <c r="A66" s="105"/>
      <c r="B66" s="105"/>
      <c r="C66" s="106"/>
      <c r="D66" s="132"/>
      <c r="E66" s="107"/>
      <c r="F66" s="107"/>
      <c r="G66" s="107"/>
      <c r="H66" s="107"/>
      <c r="I66" s="106"/>
      <c r="J66" s="107"/>
      <c r="K66" s="107"/>
      <c r="L66" s="107"/>
      <c r="M66" s="107"/>
      <c r="N66" s="107"/>
      <c r="O66" s="107"/>
      <c r="P66" s="107"/>
      <c r="Q66" s="107"/>
    </row>
    <row r="67" spans="1:17" x14ac:dyDescent="0.25">
      <c r="A67" s="105"/>
      <c r="B67" s="105"/>
      <c r="C67" s="106"/>
      <c r="D67" s="106"/>
      <c r="E67" s="107"/>
      <c r="F67" s="107"/>
      <c r="G67" s="107"/>
      <c r="H67" s="107"/>
      <c r="I67" s="106"/>
      <c r="J67" s="107"/>
      <c r="K67" s="107"/>
      <c r="L67" s="107"/>
      <c r="M67" s="107"/>
      <c r="N67" s="107"/>
      <c r="O67" s="107"/>
      <c r="P67" s="107"/>
      <c r="Q67" s="107"/>
    </row>
    <row r="68" spans="1:17" x14ac:dyDescent="0.25">
      <c r="A68" s="105"/>
      <c r="B68" s="105" t="s">
        <v>629</v>
      </c>
      <c r="C68" s="106">
        <v>64113.1</v>
      </c>
      <c r="D68" s="106"/>
      <c r="E68" s="107"/>
      <c r="F68" s="107"/>
      <c r="G68" s="107"/>
      <c r="H68" s="107"/>
      <c r="I68" s="106"/>
      <c r="J68" s="107"/>
      <c r="K68" s="107"/>
      <c r="L68" s="107"/>
      <c r="M68" s="107"/>
      <c r="N68" s="107"/>
      <c r="O68" s="112">
        <f>C68+G68-K68</f>
        <v>64113.1</v>
      </c>
      <c r="P68" s="107"/>
      <c r="Q68" s="87"/>
    </row>
    <row r="69" spans="1:17" ht="15.75" thickBot="1" x14ac:dyDescent="0.3">
      <c r="A69" s="105"/>
      <c r="B69" s="105" t="s">
        <v>630</v>
      </c>
      <c r="C69" s="116">
        <v>505</v>
      </c>
      <c r="D69" s="116"/>
      <c r="E69" s="107"/>
      <c r="F69" s="107"/>
      <c r="G69" s="107"/>
      <c r="H69" s="107"/>
      <c r="I69" s="106"/>
      <c r="J69" s="107"/>
      <c r="K69" s="107"/>
      <c r="L69" s="107"/>
      <c r="M69" s="107"/>
      <c r="N69" s="107"/>
      <c r="O69" s="112">
        <f>C69+G69-K69</f>
        <v>505</v>
      </c>
      <c r="P69" s="128"/>
      <c r="Q69" s="87"/>
    </row>
    <row r="70" spans="1:17" ht="15.75" thickBot="1" x14ac:dyDescent="0.3">
      <c r="A70" s="105"/>
      <c r="B70" s="105"/>
      <c r="C70" s="106"/>
      <c r="D70" s="106">
        <f>SUM(C68:C69)</f>
        <v>64618.1</v>
      </c>
      <c r="E70" s="107"/>
      <c r="F70" s="107"/>
      <c r="G70" s="107"/>
      <c r="H70" s="107"/>
      <c r="I70" s="106"/>
      <c r="J70" s="107"/>
      <c r="K70" s="107"/>
      <c r="L70" s="107"/>
      <c r="M70" s="107"/>
      <c r="N70" s="107"/>
      <c r="O70" s="107"/>
      <c r="P70" s="117">
        <f>SUM(O68:O69)</f>
        <v>64618.1</v>
      </c>
      <c r="Q70" s="87"/>
    </row>
    <row r="71" spans="1:17" x14ac:dyDescent="0.25">
      <c r="A71" s="105"/>
      <c r="B71" s="105"/>
      <c r="C71" s="106"/>
      <c r="D71" s="106"/>
      <c r="E71" s="107"/>
      <c r="F71" s="107"/>
      <c r="G71" s="107"/>
      <c r="H71" s="107"/>
      <c r="I71" s="106"/>
      <c r="J71" s="107"/>
      <c r="K71" s="107"/>
      <c r="L71" s="107"/>
      <c r="M71" s="107"/>
      <c r="N71" s="107"/>
      <c r="O71" s="107"/>
      <c r="P71" s="107"/>
      <c r="Q71" s="107"/>
    </row>
    <row r="72" spans="1:17" x14ac:dyDescent="0.25">
      <c r="A72" s="105"/>
      <c r="B72" s="105"/>
      <c r="C72" s="106"/>
      <c r="D72" s="106"/>
      <c r="E72" s="107"/>
      <c r="F72" s="107"/>
      <c r="G72" s="107"/>
      <c r="H72" s="107"/>
      <c r="I72" s="106"/>
      <c r="J72" s="107"/>
      <c r="K72" s="107"/>
      <c r="L72" s="107"/>
      <c r="M72" s="107"/>
      <c r="N72" s="107"/>
      <c r="O72" s="107"/>
      <c r="P72" s="107"/>
      <c r="Q72" s="87"/>
    </row>
    <row r="73" spans="1:17" x14ac:dyDescent="0.25">
      <c r="A73" s="87"/>
      <c r="B73" s="105"/>
      <c r="C73" s="106"/>
      <c r="D73" s="106"/>
      <c r="E73" s="107"/>
      <c r="F73" s="107"/>
      <c r="G73" s="107"/>
      <c r="H73" s="107"/>
      <c r="I73" s="106"/>
      <c r="J73" s="107"/>
      <c r="K73" s="107"/>
      <c r="L73" s="107"/>
      <c r="M73" s="107"/>
      <c r="N73" s="107"/>
      <c r="O73" s="107"/>
      <c r="P73" s="107"/>
      <c r="Q73" s="87"/>
    </row>
    <row r="74" spans="1:17" x14ac:dyDescent="0.25">
      <c r="A74" s="108"/>
      <c r="B74" s="109" t="s">
        <v>631</v>
      </c>
      <c r="C74" s="110"/>
      <c r="D74" s="110"/>
      <c r="E74" s="111"/>
      <c r="F74" s="111"/>
      <c r="G74" s="111"/>
      <c r="H74" s="111"/>
      <c r="I74" s="110"/>
      <c r="J74" s="111"/>
      <c r="K74" s="111"/>
      <c r="L74" s="111"/>
      <c r="M74" s="111"/>
      <c r="N74" s="111"/>
      <c r="O74" s="111"/>
      <c r="P74" s="111"/>
      <c r="Q74" s="108"/>
    </row>
    <row r="75" spans="1:17" x14ac:dyDescent="0.25">
      <c r="A75" s="123"/>
      <c r="B75" s="105" t="s">
        <v>632</v>
      </c>
      <c r="C75" s="106">
        <v>52957.62</v>
      </c>
      <c r="D75" s="106"/>
      <c r="E75" s="107"/>
      <c r="F75" s="107"/>
      <c r="G75" s="107"/>
      <c r="H75" s="107"/>
      <c r="I75" s="106"/>
      <c r="J75" s="107"/>
      <c r="K75" s="107"/>
      <c r="L75" s="107"/>
      <c r="M75" s="107"/>
      <c r="N75" s="107"/>
      <c r="O75" s="107">
        <f>SUM(C75:M75)</f>
        <v>52957.62</v>
      </c>
      <c r="P75" s="107"/>
      <c r="Q75" s="87"/>
    </row>
    <row r="76" spans="1:17" x14ac:dyDescent="0.25">
      <c r="A76" s="123" t="s">
        <v>633</v>
      </c>
      <c r="B76" s="105" t="s">
        <v>634</v>
      </c>
      <c r="C76" s="106">
        <v>26800</v>
      </c>
      <c r="D76" s="106">
        <f>SUM(C75:C76)</f>
        <v>79757.62</v>
      </c>
      <c r="E76" s="107"/>
      <c r="F76" s="107"/>
      <c r="G76" s="107"/>
      <c r="H76" s="107"/>
      <c r="I76" s="106"/>
      <c r="J76" s="107"/>
      <c r="K76" s="107"/>
      <c r="L76" s="107"/>
      <c r="M76" s="87"/>
      <c r="N76" s="107"/>
      <c r="O76" s="107">
        <f>C76+G76</f>
        <v>26800</v>
      </c>
      <c r="P76" s="107">
        <f>SUM(O75:O76)</f>
        <v>79757.62</v>
      </c>
      <c r="Q76" s="87"/>
    </row>
    <row r="77" spans="1:17" ht="15.75" thickBot="1" x14ac:dyDescent="0.3">
      <c r="A77" s="105"/>
      <c r="B77" s="105"/>
      <c r="C77" s="106"/>
      <c r="D77" s="106"/>
      <c r="E77" s="107"/>
      <c r="F77" s="107"/>
      <c r="G77" s="107"/>
      <c r="H77" s="107"/>
      <c r="I77" s="106"/>
      <c r="J77" s="107"/>
      <c r="K77" s="107"/>
      <c r="L77" s="107"/>
      <c r="M77" s="107"/>
      <c r="N77" s="107"/>
      <c r="O77" s="107"/>
      <c r="P77" s="107"/>
      <c r="Q77" s="87"/>
    </row>
    <row r="78" spans="1:17" ht="15.75" thickBot="1" x14ac:dyDescent="0.3">
      <c r="A78" s="105" t="s">
        <v>635</v>
      </c>
      <c r="B78" s="105"/>
      <c r="C78" s="133">
        <f>SUM(C6:C76)</f>
        <v>663553.87000000011</v>
      </c>
      <c r="D78" s="133">
        <f>SUM(D19:D76)</f>
        <v>663553.87000000011</v>
      </c>
      <c r="E78" s="134">
        <f>SUM(E5:E77)</f>
        <v>0</v>
      </c>
      <c r="F78" s="134"/>
      <c r="G78" s="133">
        <f>SUM(G8:G77)</f>
        <v>96969.35</v>
      </c>
      <c r="H78" s="133"/>
      <c r="I78" s="133"/>
      <c r="J78" s="134">
        <f>SUM(J15:J77)</f>
        <v>0</v>
      </c>
      <c r="K78" s="134">
        <f>SUM(K4:K77)</f>
        <v>257802.75999999998</v>
      </c>
      <c r="L78" s="133">
        <f>SUM(L5:L76)</f>
        <v>4639.6499999999996</v>
      </c>
      <c r="M78" s="133">
        <v>0</v>
      </c>
      <c r="N78" s="133"/>
      <c r="O78" s="133">
        <f>SUM(O6:O76)</f>
        <v>522202.91000000009</v>
      </c>
      <c r="P78" s="133"/>
      <c r="Q78" s="87"/>
    </row>
    <row r="79" spans="1:17" x14ac:dyDescent="0.25">
      <c r="A79" s="88"/>
      <c r="B79" s="88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87"/>
    </row>
    <row r="80" spans="1:17" x14ac:dyDescent="0.25">
      <c r="A80" s="88"/>
      <c r="B80" s="88"/>
      <c r="C80" s="107"/>
      <c r="D80" s="107"/>
      <c r="E80" s="107"/>
      <c r="F80" s="107"/>
      <c r="G80" s="107">
        <f>SUM(G78)</f>
        <v>96969.35</v>
      </c>
      <c r="H80" s="107"/>
      <c r="I80" s="107"/>
      <c r="J80" s="107"/>
      <c r="K80" s="125">
        <f>SUM(J78:K78)</f>
        <v>257802.75999999998</v>
      </c>
      <c r="L80" s="87"/>
      <c r="M80" s="107">
        <f>G80-K80</f>
        <v>-160833.40999999997</v>
      </c>
      <c r="N80" s="107"/>
      <c r="O80" s="107"/>
      <c r="P80" s="107"/>
      <c r="Q80" s="87"/>
    </row>
    <row r="81" spans="1:17" x14ac:dyDescent="0.25">
      <c r="A81" s="88"/>
      <c r="B81" s="88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87"/>
    </row>
    <row r="82" spans="1:17" x14ac:dyDescent="0.25">
      <c r="A82" s="85"/>
      <c r="B82" s="85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87"/>
    </row>
    <row r="83" spans="1:17" x14ac:dyDescent="0.25">
      <c r="A83" s="85"/>
      <c r="B83" s="87"/>
      <c r="C83" s="87"/>
      <c r="D83" s="87"/>
      <c r="E83" s="87"/>
      <c r="F83" s="87"/>
      <c r="G83" s="87"/>
      <c r="H83" s="87"/>
      <c r="I83" s="87"/>
      <c r="J83" s="107"/>
      <c r="K83" s="107">
        <v>0</v>
      </c>
      <c r="L83" s="107"/>
      <c r="M83" s="87"/>
      <c r="N83" s="87"/>
      <c r="O83" s="87"/>
      <c r="P83" s="87"/>
      <c r="Q83" s="87"/>
    </row>
    <row r="84" spans="1:17" x14ac:dyDescent="0.25">
      <c r="A84" s="85"/>
      <c r="B84" s="87"/>
      <c r="C84" s="87"/>
      <c r="D84" s="107"/>
      <c r="E84" s="10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1:17" x14ac:dyDescent="0.25">
      <c r="A85" s="85"/>
      <c r="B85" s="87"/>
      <c r="C85" s="87"/>
      <c r="D85" s="135"/>
      <c r="E85" s="136"/>
      <c r="F85" s="136"/>
      <c r="G85" s="88"/>
      <c r="H85" s="88"/>
      <c r="I85" s="88"/>
      <c r="J85" s="88"/>
      <c r="K85" s="136">
        <f>SUM(K79:K83)</f>
        <v>257802.75999999998</v>
      </c>
      <c r="L85" s="88"/>
      <c r="M85" s="88"/>
      <c r="N85" s="88"/>
      <c r="O85" s="88"/>
      <c r="P85" s="87"/>
      <c r="Q85" s="87"/>
    </row>
    <row r="86" spans="1:17" x14ac:dyDescent="0.25">
      <c r="A86" s="85"/>
      <c r="B86" s="87"/>
      <c r="C86" s="87"/>
      <c r="D86" s="107"/>
      <c r="E86" s="10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</sheetData>
  <mergeCells count="2">
    <mergeCell ref="E2:G2"/>
    <mergeCell ref="J2:M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Update</vt:lpstr>
      <vt:lpstr>Balance Sheet</vt:lpstr>
      <vt:lpstr>P &amp; L Operations, Mission</vt:lpstr>
      <vt:lpstr>Camp YTD</vt:lpstr>
      <vt:lpstr>Class Report</vt:lpstr>
      <vt:lpstr>Reserve Funds (Net Assets)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2023-01-09T15:50:00Z</dcterms:created>
  <dcterms:modified xsi:type="dcterms:W3CDTF">2023-01-09T16:27:39Z</dcterms:modified>
</cp:coreProperties>
</file>