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40877f4f7f4d43/Church cloud/presbytery stuff/Presbytery Council/"/>
    </mc:Choice>
  </mc:AlternateContent>
  <xr:revisionPtr revIDLastSave="0" documentId="14_{AFF1832C-366D-754B-82E9-E227AE3BA423}" xr6:coauthVersionLast="47" xr6:coauthVersionMax="47" xr10:uidLastSave="{00000000-0000-0000-0000-000000000000}"/>
  <bookViews>
    <workbookView xWindow="0" yWindow="760" windowWidth="34560" windowHeight="20400" tabRatio="857" xr2:uid="{00000000-000D-0000-FFFF-FFFF00000000}"/>
  </bookViews>
  <sheets>
    <sheet name="Workbook Directory" sheetId="73" r:id="rId1"/>
    <sheet name="Balance Sheet 1" sheetId="67" r:id="rId2"/>
    <sheet name="Summary Update updated 2" sheetId="46" r:id="rId3"/>
    <sheet name="PL Budget Mission &amp; Opers 3" sheetId="36" r:id="rId4"/>
    <sheet name="Camp YTD Budget  4" sheetId="35" r:id="rId5"/>
    <sheet name="Class Report 5" sheetId="71" r:id="rId6"/>
    <sheet name="Net Assets Summary 6 a" sheetId="53" r:id="rId7"/>
    <sheet name="Net Assets  6b" sheetId="68" r:id="rId8"/>
    <sheet name="AR 2024 8" sheetId="37" r:id="rId9"/>
  </sheets>
  <definedNames>
    <definedName name="_xlnm.Print_Area" localSheetId="8">'AR 2024 8'!$B$1:$G$66</definedName>
    <definedName name="_xlnm.Print_Area" localSheetId="2">'Summary Update updated 2'!$A$1:$F$69</definedName>
    <definedName name="_xlnm.Print_Titles" localSheetId="8">'AR 2024 8'!$1:$5</definedName>
    <definedName name="_xlnm.Print_Titles" localSheetId="4">'Camp YTD Budget  4'!$1:$7</definedName>
    <definedName name="_xlnm.Print_Titles" localSheetId="7">'Net Assets  6b'!$1:$3</definedName>
    <definedName name="_xlnm.Print_Titles" localSheetId="6">'Net Assets Summary 6 a'!$1:$3</definedName>
    <definedName name="_xlnm.Print_Titles" localSheetId="3">'PL Budget Mission &amp; Opers 3'!$1:$5</definedName>
    <definedName name="_xlnm.Print_Titles" localSheetId="2">'Summary Update updated 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2" i="71" l="1"/>
  <c r="E252" i="71"/>
  <c r="D252" i="71"/>
  <c r="F251" i="71"/>
  <c r="E251" i="71"/>
  <c r="D251" i="71"/>
  <c r="B251" i="71"/>
  <c r="B252" i="71" s="1"/>
  <c r="G252" i="71" s="1"/>
  <c r="C250" i="71"/>
  <c r="C251" i="71" s="1"/>
  <c r="C252" i="71" s="1"/>
  <c r="G249" i="71"/>
  <c r="D247" i="71"/>
  <c r="D253" i="71" s="1"/>
  <c r="F246" i="71"/>
  <c r="D246" i="71"/>
  <c r="C246" i="71"/>
  <c r="E245" i="71"/>
  <c r="B245" i="71"/>
  <c r="G245" i="71" s="1"/>
  <c r="E244" i="71"/>
  <c r="E246" i="71" s="1"/>
  <c r="B243" i="71"/>
  <c r="G243" i="71" s="1"/>
  <c r="G242" i="71"/>
  <c r="B242" i="71"/>
  <c r="B246" i="71" s="1"/>
  <c r="G241" i="71"/>
  <c r="D240" i="71"/>
  <c r="G239" i="71"/>
  <c r="C239" i="71"/>
  <c r="C238" i="71"/>
  <c r="G238" i="71" s="1"/>
  <c r="C237" i="71"/>
  <c r="G237" i="71" s="1"/>
  <c r="F236" i="71"/>
  <c r="E236" i="71"/>
  <c r="E240" i="71" s="1"/>
  <c r="D236" i="71"/>
  <c r="B236" i="71"/>
  <c r="C235" i="71"/>
  <c r="C236" i="71" s="1"/>
  <c r="G236" i="71" s="1"/>
  <c r="G234" i="71"/>
  <c r="F233" i="71"/>
  <c r="F240" i="71" s="1"/>
  <c r="F247" i="71" s="1"/>
  <c r="F253" i="71" s="1"/>
  <c r="E233" i="71"/>
  <c r="D233" i="71"/>
  <c r="B233" i="71"/>
  <c r="B240" i="71" s="1"/>
  <c r="C232" i="71"/>
  <c r="C233" i="71" s="1"/>
  <c r="G231" i="71"/>
  <c r="G230" i="71"/>
  <c r="F223" i="71"/>
  <c r="D223" i="71"/>
  <c r="C223" i="71"/>
  <c r="B223" i="71"/>
  <c r="G222" i="71"/>
  <c r="E222" i="71"/>
  <c r="E223" i="71" s="1"/>
  <c r="G223" i="71" s="1"/>
  <c r="G221" i="71"/>
  <c r="G220" i="71"/>
  <c r="E220" i="71"/>
  <c r="F219" i="71"/>
  <c r="F224" i="71" s="1"/>
  <c r="F225" i="71" s="1"/>
  <c r="E219" i="71"/>
  <c r="D219" i="71"/>
  <c r="D224" i="71" s="1"/>
  <c r="C219" i="71"/>
  <c r="C224" i="71" s="1"/>
  <c r="B219" i="71"/>
  <c r="G219" i="71" s="1"/>
  <c r="G218" i="71"/>
  <c r="E218" i="71"/>
  <c r="E217" i="71"/>
  <c r="G217" i="71" s="1"/>
  <c r="G216" i="71"/>
  <c r="G215" i="71"/>
  <c r="E215" i="71"/>
  <c r="E214" i="71"/>
  <c r="G214" i="71" s="1"/>
  <c r="E213" i="71"/>
  <c r="G213" i="71" s="1"/>
  <c r="E212" i="71"/>
  <c r="G212" i="71" s="1"/>
  <c r="E211" i="71"/>
  <c r="E224" i="71" s="1"/>
  <c r="G210" i="71"/>
  <c r="F209" i="71"/>
  <c r="D209" i="71"/>
  <c r="C209" i="71"/>
  <c r="B209" i="71"/>
  <c r="E208" i="71"/>
  <c r="G208" i="71" s="1"/>
  <c r="G207" i="71"/>
  <c r="E207" i="71"/>
  <c r="E206" i="71"/>
  <c r="G206" i="71" s="1"/>
  <c r="E205" i="71"/>
  <c r="G205" i="71" s="1"/>
  <c r="E204" i="71"/>
  <c r="G204" i="71" s="1"/>
  <c r="G203" i="71"/>
  <c r="E203" i="71"/>
  <c r="E202" i="71"/>
  <c r="G202" i="71" s="1"/>
  <c r="E201" i="71"/>
  <c r="G201" i="71" s="1"/>
  <c r="E200" i="71"/>
  <c r="G200" i="71" s="1"/>
  <c r="G199" i="71"/>
  <c r="E199" i="71"/>
  <c r="E209" i="71" s="1"/>
  <c r="G198" i="71"/>
  <c r="F197" i="71"/>
  <c r="E197" i="71"/>
  <c r="D197" i="71"/>
  <c r="C197" i="71"/>
  <c r="B197" i="71"/>
  <c r="G197" i="71" s="1"/>
  <c r="F196" i="71"/>
  <c r="E196" i="71"/>
  <c r="D196" i="71"/>
  <c r="C196" i="71"/>
  <c r="B196" i="71"/>
  <c r="G196" i="71" s="1"/>
  <c r="D195" i="71"/>
  <c r="G195" i="71" s="1"/>
  <c r="G194" i="71"/>
  <c r="D193" i="71"/>
  <c r="G193" i="71" s="1"/>
  <c r="D192" i="71"/>
  <c r="G192" i="71" s="1"/>
  <c r="G191" i="71"/>
  <c r="F189" i="71"/>
  <c r="D189" i="71"/>
  <c r="C189" i="71"/>
  <c r="B189" i="71"/>
  <c r="E188" i="71"/>
  <c r="G188" i="71" s="1"/>
  <c r="E187" i="71"/>
  <c r="G187" i="71" s="1"/>
  <c r="G186" i="71"/>
  <c r="E186" i="71"/>
  <c r="E189" i="71" s="1"/>
  <c r="G189" i="71" s="1"/>
  <c r="G185" i="71"/>
  <c r="F184" i="71"/>
  <c r="D184" i="71"/>
  <c r="C184" i="71"/>
  <c r="B184" i="71"/>
  <c r="G183" i="71"/>
  <c r="E183" i="71"/>
  <c r="E182" i="71"/>
  <c r="G182" i="71" s="1"/>
  <c r="E181" i="71"/>
  <c r="G181" i="71" s="1"/>
  <c r="E180" i="71"/>
  <c r="G180" i="71" s="1"/>
  <c r="G179" i="71"/>
  <c r="E179" i="71"/>
  <c r="E178" i="71"/>
  <c r="G178" i="71" s="1"/>
  <c r="G177" i="71"/>
  <c r="F176" i="71"/>
  <c r="D176" i="71"/>
  <c r="C176" i="71"/>
  <c r="B176" i="71"/>
  <c r="E175" i="71"/>
  <c r="G175" i="71" s="1"/>
  <c r="E174" i="71"/>
  <c r="G174" i="71" s="1"/>
  <c r="G173" i="71"/>
  <c r="E173" i="71"/>
  <c r="E176" i="71" s="1"/>
  <c r="G176" i="71" s="1"/>
  <c r="G172" i="71"/>
  <c r="E172" i="71"/>
  <c r="G171" i="71"/>
  <c r="F169" i="71"/>
  <c r="F170" i="71" s="1"/>
  <c r="F190" i="71" s="1"/>
  <c r="D169" i="71"/>
  <c r="D170" i="71" s="1"/>
  <c r="D190" i="71" s="1"/>
  <c r="C169" i="71"/>
  <c r="C170" i="71" s="1"/>
  <c r="C190" i="71" s="1"/>
  <c r="B169" i="71"/>
  <c r="B170" i="71" s="1"/>
  <c r="G168" i="71"/>
  <c r="E168" i="71"/>
  <c r="E167" i="71"/>
  <c r="G167" i="71" s="1"/>
  <c r="E166" i="71"/>
  <c r="G166" i="71" s="1"/>
  <c r="E165" i="71"/>
  <c r="G165" i="71" s="1"/>
  <c r="G164" i="71"/>
  <c r="E164" i="71"/>
  <c r="E163" i="71"/>
  <c r="G163" i="71" s="1"/>
  <c r="E162" i="71"/>
  <c r="G162" i="71" s="1"/>
  <c r="E161" i="71"/>
  <c r="G161" i="71" s="1"/>
  <c r="G160" i="71"/>
  <c r="E160" i="71"/>
  <c r="E159" i="71"/>
  <c r="G159" i="71" s="1"/>
  <c r="G158" i="71"/>
  <c r="G157" i="71"/>
  <c r="G156" i="71"/>
  <c r="G155" i="71"/>
  <c r="F153" i="71"/>
  <c r="F152" i="71"/>
  <c r="E152" i="71"/>
  <c r="D152" i="71"/>
  <c r="C152" i="71"/>
  <c r="B151" i="71"/>
  <c r="G151" i="71" s="1"/>
  <c r="B150" i="71"/>
  <c r="G150" i="71" s="1"/>
  <c r="B149" i="71"/>
  <c r="G149" i="71" s="1"/>
  <c r="G148" i="71"/>
  <c r="B148" i="71"/>
  <c r="B147" i="71"/>
  <c r="G147" i="71" s="1"/>
  <c r="B146" i="71"/>
  <c r="G146" i="71" s="1"/>
  <c r="G145" i="71"/>
  <c r="F144" i="71"/>
  <c r="E144" i="71"/>
  <c r="D144" i="71"/>
  <c r="C144" i="71"/>
  <c r="B143" i="71"/>
  <c r="G143" i="71" s="1"/>
  <c r="G142" i="71"/>
  <c r="B142" i="71"/>
  <c r="B144" i="71" s="1"/>
  <c r="G144" i="71" s="1"/>
  <c r="G141" i="71"/>
  <c r="B141" i="71"/>
  <c r="G140" i="71"/>
  <c r="B140" i="71"/>
  <c r="G139" i="71"/>
  <c r="B139" i="71"/>
  <c r="G138" i="71"/>
  <c r="G137" i="71"/>
  <c r="B137" i="71"/>
  <c r="F136" i="71"/>
  <c r="E136" i="71"/>
  <c r="E153" i="71" s="1"/>
  <c r="D136" i="71"/>
  <c r="C136" i="71"/>
  <c r="B136" i="71"/>
  <c r="G136" i="71" s="1"/>
  <c r="G135" i="71"/>
  <c r="B135" i="71"/>
  <c r="B134" i="71"/>
  <c r="G134" i="71" s="1"/>
  <c r="B133" i="71"/>
  <c r="G133" i="71" s="1"/>
  <c r="G132" i="71"/>
  <c r="F131" i="71"/>
  <c r="E131" i="71"/>
  <c r="D131" i="71"/>
  <c r="D153" i="71" s="1"/>
  <c r="C131" i="71"/>
  <c r="C153" i="71" s="1"/>
  <c r="B130" i="71"/>
  <c r="B131" i="71" s="1"/>
  <c r="G129" i="71"/>
  <c r="B129" i="71"/>
  <c r="G128" i="71"/>
  <c r="G127" i="71"/>
  <c r="B125" i="71"/>
  <c r="G125" i="71" s="1"/>
  <c r="F124" i="71"/>
  <c r="E124" i="71"/>
  <c r="D124" i="71"/>
  <c r="C124" i="71"/>
  <c r="B124" i="71"/>
  <c r="G124" i="71" s="1"/>
  <c r="G123" i="71"/>
  <c r="B123" i="71"/>
  <c r="B122" i="71"/>
  <c r="G122" i="71" s="1"/>
  <c r="G121" i="71"/>
  <c r="B121" i="71"/>
  <c r="B120" i="71"/>
  <c r="G120" i="71" s="1"/>
  <c r="G119" i="71"/>
  <c r="F118" i="71"/>
  <c r="E118" i="71"/>
  <c r="D118" i="71"/>
  <c r="C118" i="71"/>
  <c r="B118" i="71"/>
  <c r="G118" i="71" s="1"/>
  <c r="G117" i="71"/>
  <c r="B117" i="71"/>
  <c r="G116" i="71"/>
  <c r="F115" i="71"/>
  <c r="E115" i="71"/>
  <c r="D115" i="71"/>
  <c r="C115" i="71"/>
  <c r="B114" i="71"/>
  <c r="B115" i="71" s="1"/>
  <c r="G115" i="71" s="1"/>
  <c r="G113" i="71"/>
  <c r="F112" i="71"/>
  <c r="F126" i="71" s="1"/>
  <c r="E112" i="71"/>
  <c r="E126" i="71" s="1"/>
  <c r="D112" i="71"/>
  <c r="C112" i="71"/>
  <c r="B111" i="71"/>
  <c r="G111" i="71" s="1"/>
  <c r="B110" i="71"/>
  <c r="B112" i="71" s="1"/>
  <c r="G112" i="71" s="1"/>
  <c r="G109" i="71"/>
  <c r="B108" i="71"/>
  <c r="G108" i="71" s="1"/>
  <c r="B107" i="71"/>
  <c r="G107" i="71" s="1"/>
  <c r="B106" i="71"/>
  <c r="G106" i="71" s="1"/>
  <c r="B105" i="71"/>
  <c r="G105" i="71" s="1"/>
  <c r="G104" i="71"/>
  <c r="B104" i="71"/>
  <c r="G103" i="71"/>
  <c r="B103" i="71"/>
  <c r="B102" i="71"/>
  <c r="G102" i="71" s="1"/>
  <c r="F101" i="71"/>
  <c r="E101" i="71"/>
  <c r="D101" i="71"/>
  <c r="C101" i="71"/>
  <c r="B100" i="71"/>
  <c r="G100" i="71" s="1"/>
  <c r="B99" i="71"/>
  <c r="G99" i="71" s="1"/>
  <c r="G98" i="71"/>
  <c r="B98" i="71"/>
  <c r="B101" i="71" s="1"/>
  <c r="G101" i="71" s="1"/>
  <c r="F97" i="71"/>
  <c r="E97" i="71"/>
  <c r="D97" i="71"/>
  <c r="D126" i="71" s="1"/>
  <c r="C97" i="71"/>
  <c r="C126" i="71" s="1"/>
  <c r="B96" i="71"/>
  <c r="G96" i="71" s="1"/>
  <c r="B95" i="71"/>
  <c r="G95" i="71" s="1"/>
  <c r="B94" i="71"/>
  <c r="G94" i="71" s="1"/>
  <c r="B93" i="71"/>
  <c r="B97" i="71" s="1"/>
  <c r="G97" i="71" s="1"/>
  <c r="G92" i="71"/>
  <c r="G91" i="71"/>
  <c r="B91" i="71"/>
  <c r="B90" i="71"/>
  <c r="G90" i="71" s="1"/>
  <c r="B89" i="71"/>
  <c r="G89" i="71" s="1"/>
  <c r="B88" i="71"/>
  <c r="G88" i="71" s="1"/>
  <c r="G87" i="71"/>
  <c r="G86" i="71"/>
  <c r="B83" i="71"/>
  <c r="G83" i="71" s="1"/>
  <c r="G82" i="71"/>
  <c r="B82" i="71"/>
  <c r="B81" i="71"/>
  <c r="G81" i="71" s="1"/>
  <c r="F80" i="71"/>
  <c r="F84" i="71" s="1"/>
  <c r="E80" i="71"/>
  <c r="E84" i="71" s="1"/>
  <c r="D80" i="71"/>
  <c r="D84" i="71" s="1"/>
  <c r="C80" i="71"/>
  <c r="C84" i="71" s="1"/>
  <c r="C85" i="71" s="1"/>
  <c r="B79" i="71"/>
  <c r="B80" i="71" s="1"/>
  <c r="G78" i="71"/>
  <c r="G77" i="71"/>
  <c r="B77" i="71"/>
  <c r="B76" i="71"/>
  <c r="G76" i="71" s="1"/>
  <c r="G75" i="71"/>
  <c r="F74" i="71"/>
  <c r="E74" i="71"/>
  <c r="D74" i="71"/>
  <c r="C74" i="71"/>
  <c r="B74" i="71"/>
  <c r="G74" i="71" s="1"/>
  <c r="F73" i="71"/>
  <c r="E73" i="71"/>
  <c r="D73" i="71"/>
  <c r="C73" i="71"/>
  <c r="B73" i="71"/>
  <c r="G73" i="71" s="1"/>
  <c r="B72" i="71"/>
  <c r="G72" i="71" s="1"/>
  <c r="G71" i="71"/>
  <c r="F70" i="71"/>
  <c r="E70" i="71"/>
  <c r="D70" i="71"/>
  <c r="C70" i="71"/>
  <c r="B70" i="71"/>
  <c r="G70" i="71" s="1"/>
  <c r="G69" i="71"/>
  <c r="B69" i="71"/>
  <c r="G68" i="71"/>
  <c r="B68" i="71"/>
  <c r="B67" i="71"/>
  <c r="G67" i="71" s="1"/>
  <c r="G66" i="71"/>
  <c r="B66" i="71"/>
  <c r="B65" i="71"/>
  <c r="G65" i="71" s="1"/>
  <c r="G64" i="71"/>
  <c r="F63" i="71"/>
  <c r="E63" i="71"/>
  <c r="D63" i="71"/>
  <c r="C63" i="71"/>
  <c r="G62" i="71"/>
  <c r="B62" i="71"/>
  <c r="B61" i="71"/>
  <c r="G61" i="71" s="1"/>
  <c r="B60" i="71"/>
  <c r="G60" i="71" s="1"/>
  <c r="B59" i="71"/>
  <c r="G59" i="71" s="1"/>
  <c r="B58" i="71"/>
  <c r="G58" i="71" s="1"/>
  <c r="B57" i="71"/>
  <c r="G57" i="71" s="1"/>
  <c r="B56" i="71"/>
  <c r="G56" i="71" s="1"/>
  <c r="B55" i="71"/>
  <c r="G55" i="71" s="1"/>
  <c r="G54" i="71"/>
  <c r="B54" i="71"/>
  <c r="B53" i="71"/>
  <c r="G53" i="71" s="1"/>
  <c r="B52" i="71"/>
  <c r="G52" i="71" s="1"/>
  <c r="B51" i="71"/>
  <c r="G51" i="71" s="1"/>
  <c r="B50" i="71"/>
  <c r="G50" i="71" s="1"/>
  <c r="B49" i="71"/>
  <c r="G49" i="71" s="1"/>
  <c r="G48" i="71"/>
  <c r="G47" i="71"/>
  <c r="G42" i="71"/>
  <c r="B42" i="71"/>
  <c r="B40" i="71"/>
  <c r="G40" i="71" s="1"/>
  <c r="B39" i="71"/>
  <c r="G39" i="71" s="1"/>
  <c r="F38" i="71"/>
  <c r="F41" i="71" s="1"/>
  <c r="E38" i="71"/>
  <c r="E41" i="71" s="1"/>
  <c r="E43" i="71" s="1"/>
  <c r="D38" i="71"/>
  <c r="D41" i="71" s="1"/>
  <c r="D43" i="71" s="1"/>
  <c r="C38" i="71"/>
  <c r="C41" i="71" s="1"/>
  <c r="C43" i="71" s="1"/>
  <c r="B37" i="71"/>
  <c r="G37" i="71" s="1"/>
  <c r="B36" i="71"/>
  <c r="G36" i="71" s="1"/>
  <c r="B35" i="71"/>
  <c r="G35" i="71" s="1"/>
  <c r="B34" i="71"/>
  <c r="G34" i="71" s="1"/>
  <c r="B33" i="71"/>
  <c r="B38" i="71" s="1"/>
  <c r="G32" i="71"/>
  <c r="G31" i="71"/>
  <c r="F30" i="71"/>
  <c r="E30" i="71"/>
  <c r="D30" i="71"/>
  <c r="C30" i="71"/>
  <c r="B29" i="71"/>
  <c r="B30" i="71" s="1"/>
  <c r="B28" i="71"/>
  <c r="G28" i="71" s="1"/>
  <c r="B27" i="71"/>
  <c r="G27" i="71" s="1"/>
  <c r="G26" i="71"/>
  <c r="G25" i="71"/>
  <c r="F23" i="71"/>
  <c r="D23" i="71"/>
  <c r="F22" i="71"/>
  <c r="D22" i="71"/>
  <c r="C22" i="71"/>
  <c r="C23" i="71" s="1"/>
  <c r="B22" i="71"/>
  <c r="B23" i="71" s="1"/>
  <c r="E21" i="71"/>
  <c r="G21" i="71" s="1"/>
  <c r="G20" i="71"/>
  <c r="E20" i="71"/>
  <c r="E19" i="71"/>
  <c r="G19" i="71" s="1"/>
  <c r="G18" i="71"/>
  <c r="G17" i="71"/>
  <c r="B16" i="71"/>
  <c r="F15" i="71"/>
  <c r="F16" i="71" s="1"/>
  <c r="F24" i="71" s="1"/>
  <c r="E15" i="71"/>
  <c r="E16" i="71" s="1"/>
  <c r="D15" i="71"/>
  <c r="G15" i="71" s="1"/>
  <c r="C15" i="71"/>
  <c r="C16" i="71" s="1"/>
  <c r="B15" i="71"/>
  <c r="E14" i="71"/>
  <c r="G14" i="71" s="1"/>
  <c r="E13" i="71"/>
  <c r="G13" i="71" s="1"/>
  <c r="G12" i="71"/>
  <c r="F11" i="71"/>
  <c r="E11" i="71"/>
  <c r="C11" i="71"/>
  <c r="B11" i="71"/>
  <c r="D10" i="71"/>
  <c r="G10" i="71" s="1"/>
  <c r="G9" i="71"/>
  <c r="D9" i="71"/>
  <c r="D11" i="71" s="1"/>
  <c r="G8" i="71"/>
  <c r="G7" i="71"/>
  <c r="H81" i="53"/>
  <c r="N79" i="53"/>
  <c r="L79" i="53"/>
  <c r="K79" i="53"/>
  <c r="L81" i="53" s="1"/>
  <c r="H79" i="53"/>
  <c r="P77" i="53"/>
  <c r="Q77" i="53" s="1"/>
  <c r="E77" i="53"/>
  <c r="P76" i="53"/>
  <c r="Q70" i="53"/>
  <c r="E70" i="53"/>
  <c r="P69" i="53"/>
  <c r="P68" i="53"/>
  <c r="F65" i="53"/>
  <c r="E65" i="53"/>
  <c r="P64" i="53"/>
  <c r="Q64" i="53" s="1"/>
  <c r="F60" i="53"/>
  <c r="F79" i="53" s="1"/>
  <c r="P59" i="53"/>
  <c r="E58" i="53"/>
  <c r="P57" i="53"/>
  <c r="P56" i="53"/>
  <c r="P54" i="53"/>
  <c r="Q57" i="53" s="1"/>
  <c r="R57" i="53" s="1"/>
  <c r="P53" i="53"/>
  <c r="P52" i="53"/>
  <c r="P51" i="53"/>
  <c r="E50" i="53"/>
  <c r="P49" i="53"/>
  <c r="P48" i="53"/>
  <c r="P47" i="53"/>
  <c r="P46" i="53"/>
  <c r="P45" i="53"/>
  <c r="P43" i="53"/>
  <c r="E43" i="53"/>
  <c r="P37" i="53"/>
  <c r="E37" i="53"/>
  <c r="P36" i="53"/>
  <c r="Q38" i="53" s="1"/>
  <c r="P35" i="53"/>
  <c r="P34" i="53"/>
  <c r="P32" i="53"/>
  <c r="P31" i="53"/>
  <c r="M31" i="53"/>
  <c r="E31" i="53"/>
  <c r="P29" i="53"/>
  <c r="E29" i="53"/>
  <c r="P26" i="53"/>
  <c r="E22" i="53"/>
  <c r="E79" i="53" s="1"/>
  <c r="P21" i="53"/>
  <c r="P20" i="53"/>
  <c r="M14" i="53"/>
  <c r="L14" i="53"/>
  <c r="I14" i="53"/>
  <c r="D14" i="53"/>
  <c r="E14" i="53" s="1"/>
  <c r="P8" i="53"/>
  <c r="E8" i="53"/>
  <c r="D25" i="67"/>
  <c r="D24" i="67"/>
  <c r="B147" i="67"/>
  <c r="D146" i="67"/>
  <c r="B146" i="67"/>
  <c r="D144" i="67"/>
  <c r="B144" i="67"/>
  <c r="D143" i="67"/>
  <c r="B143" i="67"/>
  <c r="B141" i="67"/>
  <c r="B140" i="67"/>
  <c r="D139" i="67"/>
  <c r="D142" i="67" s="1"/>
  <c r="D145" i="67" s="1"/>
  <c r="B139" i="67"/>
  <c r="B142" i="67" s="1"/>
  <c r="B145" i="67" s="1"/>
  <c r="D138" i="67"/>
  <c r="B138" i="67"/>
  <c r="D134" i="67"/>
  <c r="B134" i="67"/>
  <c r="D133" i="67"/>
  <c r="B133" i="67"/>
  <c r="B135" i="67"/>
  <c r="D126" i="67"/>
  <c r="B126" i="67"/>
  <c r="D125" i="67"/>
  <c r="B125" i="67"/>
  <c r="D124" i="67"/>
  <c r="B124" i="67"/>
  <c r="B123" i="67"/>
  <c r="D122" i="67"/>
  <c r="B122" i="67"/>
  <c r="D121" i="67"/>
  <c r="B121" i="67"/>
  <c r="D120" i="67"/>
  <c r="B120" i="67"/>
  <c r="D119" i="67"/>
  <c r="B119" i="67"/>
  <c r="D118" i="67"/>
  <c r="B118" i="67"/>
  <c r="D117" i="67"/>
  <c r="B117" i="67"/>
  <c r="D116" i="67"/>
  <c r="B116" i="67"/>
  <c r="D114" i="67"/>
  <c r="B114" i="67"/>
  <c r="D113" i="67"/>
  <c r="B113" i="67"/>
  <c r="D112" i="67"/>
  <c r="B112" i="67"/>
  <c r="D111" i="67"/>
  <c r="B111" i="67"/>
  <c r="D110" i="67"/>
  <c r="B110" i="67"/>
  <c r="B109" i="67"/>
  <c r="D108" i="67"/>
  <c r="B108" i="67"/>
  <c r="B107" i="67"/>
  <c r="B106" i="67"/>
  <c r="B105" i="67"/>
  <c r="D104" i="67"/>
  <c r="B104" i="67"/>
  <c r="D103" i="67"/>
  <c r="B103" i="67"/>
  <c r="B99" i="67"/>
  <c r="B98" i="67"/>
  <c r="B97" i="67"/>
  <c r="B96" i="67"/>
  <c r="B95" i="67"/>
  <c r="B94" i="67"/>
  <c r="D91" i="67"/>
  <c r="B90" i="67"/>
  <c r="B91" i="67" s="1"/>
  <c r="D83" i="67"/>
  <c r="B83" i="67"/>
  <c r="B81" i="67"/>
  <c r="B80" i="67"/>
  <c r="B79" i="67"/>
  <c r="B78" i="67"/>
  <c r="D77" i="67"/>
  <c r="B77" i="67"/>
  <c r="D75" i="67"/>
  <c r="B75" i="67"/>
  <c r="D74" i="67"/>
  <c r="B74" i="67"/>
  <c r="D73" i="67"/>
  <c r="B73" i="67"/>
  <c r="D72" i="67"/>
  <c r="B72" i="67"/>
  <c r="D71" i="67"/>
  <c r="B71" i="67"/>
  <c r="D64" i="67"/>
  <c r="B64" i="67"/>
  <c r="D63" i="67"/>
  <c r="D65" i="67" s="1"/>
  <c r="D66" i="67" s="1"/>
  <c r="B63" i="67"/>
  <c r="B65" i="67" s="1"/>
  <c r="B66" i="67" s="1"/>
  <c r="D61" i="67"/>
  <c r="B61" i="67"/>
  <c r="D60" i="67"/>
  <c r="B60" i="67"/>
  <c r="D59" i="67"/>
  <c r="B59" i="67"/>
  <c r="D55" i="67"/>
  <c r="B55" i="67"/>
  <c r="D54" i="67"/>
  <c r="B54" i="67"/>
  <c r="D52" i="67"/>
  <c r="B52" i="67"/>
  <c r="D51" i="67"/>
  <c r="B51" i="67"/>
  <c r="D50" i="67"/>
  <c r="B50" i="67"/>
  <c r="D49" i="67"/>
  <c r="B49" i="67"/>
  <c r="D46" i="67"/>
  <c r="B46" i="67"/>
  <c r="D45" i="67"/>
  <c r="B45" i="67"/>
  <c r="D44" i="67"/>
  <c r="B44" i="67"/>
  <c r="D43" i="67"/>
  <c r="B43" i="67"/>
  <c r="D40" i="67"/>
  <c r="B40" i="67"/>
  <c r="D39" i="67"/>
  <c r="B39" i="67"/>
  <c r="D38" i="67"/>
  <c r="B38" i="67"/>
  <c r="D37" i="67"/>
  <c r="B37" i="67"/>
  <c r="D31" i="67"/>
  <c r="B31" i="67"/>
  <c r="D30" i="67"/>
  <c r="B30" i="67"/>
  <c r="D29" i="67"/>
  <c r="B29" i="67"/>
  <c r="B28" i="67"/>
  <c r="B32" i="67" s="1"/>
  <c r="B25" i="67"/>
  <c r="B24" i="67"/>
  <c r="D21" i="67"/>
  <c r="D20" i="67"/>
  <c r="B20" i="67"/>
  <c r="B21" i="67" s="1"/>
  <c r="D18" i="67"/>
  <c r="B18" i="67"/>
  <c r="D17" i="67"/>
  <c r="B17" i="67"/>
  <c r="D16" i="67"/>
  <c r="B16" i="67"/>
  <c r="B15" i="67"/>
  <c r="B14" i="67"/>
  <c r="D13" i="67"/>
  <c r="B13" i="67"/>
  <c r="D12" i="67"/>
  <c r="B12" i="67"/>
  <c r="D11" i="67"/>
  <c r="B11" i="67"/>
  <c r="B10" i="67"/>
  <c r="E52" i="46"/>
  <c r="E15" i="46"/>
  <c r="E247" i="71" l="1"/>
  <c r="E253" i="71" s="1"/>
  <c r="E225" i="71"/>
  <c r="G209" i="71"/>
  <c r="G30" i="71"/>
  <c r="B43" i="71"/>
  <c r="B24" i="71"/>
  <c r="F43" i="71"/>
  <c r="F44" i="71"/>
  <c r="F45" i="71" s="1"/>
  <c r="C24" i="71"/>
  <c r="C44" i="71" s="1"/>
  <c r="C45" i="71" s="1"/>
  <c r="G23" i="71"/>
  <c r="B190" i="71"/>
  <c r="G170" i="71"/>
  <c r="C240" i="71"/>
  <c r="C247" i="71" s="1"/>
  <c r="C253" i="71" s="1"/>
  <c r="E85" i="71"/>
  <c r="E154" i="71" s="1"/>
  <c r="B41" i="71"/>
  <c r="G41" i="71" s="1"/>
  <c r="G38" i="71"/>
  <c r="G246" i="71"/>
  <c r="F85" i="71"/>
  <c r="F154" i="71" s="1"/>
  <c r="B84" i="71"/>
  <c r="G84" i="71" s="1"/>
  <c r="G80" i="71"/>
  <c r="B153" i="71"/>
  <c r="G153" i="71" s="1"/>
  <c r="G131" i="71"/>
  <c r="F226" i="71"/>
  <c r="C225" i="71"/>
  <c r="C226" i="71" s="1"/>
  <c r="D85" i="71"/>
  <c r="D154" i="71" s="1"/>
  <c r="D227" i="71" s="1"/>
  <c r="D226" i="71"/>
  <c r="B225" i="71"/>
  <c r="G225" i="71" s="1"/>
  <c r="B247" i="71"/>
  <c r="G240" i="71"/>
  <c r="C154" i="71"/>
  <c r="D225" i="71"/>
  <c r="B63" i="71"/>
  <c r="B224" i="71"/>
  <c r="G224" i="71" s="1"/>
  <c r="G93" i="71"/>
  <c r="G130" i="71"/>
  <c r="G211" i="71"/>
  <c r="G232" i="71"/>
  <c r="E169" i="71"/>
  <c r="E170" i="71" s="1"/>
  <c r="E190" i="71" s="1"/>
  <c r="E226" i="71" s="1"/>
  <c r="G244" i="71"/>
  <c r="E22" i="71"/>
  <c r="E23" i="71" s="1"/>
  <c r="E24" i="71" s="1"/>
  <c r="E44" i="71" s="1"/>
  <c r="E45" i="71" s="1"/>
  <c r="G33" i="71"/>
  <c r="G169" i="71"/>
  <c r="D16" i="71"/>
  <c r="G16" i="71" s="1"/>
  <c r="G114" i="71"/>
  <c r="B152" i="71"/>
  <c r="G152" i="71" s="1"/>
  <c r="G250" i="71"/>
  <c r="B126" i="71"/>
  <c r="G126" i="71" s="1"/>
  <c r="G11" i="71"/>
  <c r="G233" i="71"/>
  <c r="G29" i="71"/>
  <c r="G110" i="71"/>
  <c r="E184" i="71"/>
  <c r="G184" i="71" s="1"/>
  <c r="G235" i="71"/>
  <c r="G251" i="71"/>
  <c r="G79" i="71"/>
  <c r="F22" i="53"/>
  <c r="P14" i="53"/>
  <c r="Q22" i="53" s="1"/>
  <c r="S65" i="53"/>
  <c r="R38" i="53"/>
  <c r="U57" i="53" s="1"/>
  <c r="D79" i="53"/>
  <c r="D127" i="67"/>
  <c r="D128" i="67" s="1"/>
  <c r="D32" i="67"/>
  <c r="B100" i="67"/>
  <c r="B101" i="67" s="1"/>
  <c r="B56" i="67"/>
  <c r="B57" i="67" s="1"/>
  <c r="D56" i="67"/>
  <c r="D135" i="67"/>
  <c r="D148" i="67" s="1"/>
  <c r="B47" i="67"/>
  <c r="B127" i="67"/>
  <c r="B128" i="67" s="1"/>
  <c r="B22" i="67"/>
  <c r="B33" i="67" s="1"/>
  <c r="B41" i="67"/>
  <c r="B26" i="67"/>
  <c r="D26" i="67"/>
  <c r="D22" i="67"/>
  <c r="D41" i="67"/>
  <c r="D67" i="67" s="1"/>
  <c r="D68" i="67" s="1"/>
  <c r="B76" i="67"/>
  <c r="B82" i="67" s="1"/>
  <c r="B84" i="67" s="1"/>
  <c r="D47" i="67"/>
  <c r="D76" i="67"/>
  <c r="D82" i="67" s="1"/>
  <c r="D84" i="67" s="1"/>
  <c r="D100" i="67"/>
  <c r="D101" i="67" s="1"/>
  <c r="B148" i="67"/>
  <c r="D57" i="67"/>
  <c r="B226" i="71" l="1"/>
  <c r="G226" i="71" s="1"/>
  <c r="G190" i="71"/>
  <c r="D24" i="71"/>
  <c r="D44" i="71" s="1"/>
  <c r="D45" i="71" s="1"/>
  <c r="D228" i="71" s="1"/>
  <c r="D254" i="71" s="1"/>
  <c r="G43" i="71"/>
  <c r="B44" i="71"/>
  <c r="G24" i="71"/>
  <c r="F227" i="71"/>
  <c r="F228" i="71" s="1"/>
  <c r="F254" i="71" s="1"/>
  <c r="E227" i="71"/>
  <c r="E228" i="71" s="1"/>
  <c r="E254" i="71" s="1"/>
  <c r="C227" i="71"/>
  <c r="C228" i="71" s="1"/>
  <c r="C254" i="71" s="1"/>
  <c r="B85" i="71"/>
  <c r="G63" i="71"/>
  <c r="G22" i="71"/>
  <c r="B253" i="71"/>
  <c r="G253" i="71" s="1"/>
  <c r="G247" i="71"/>
  <c r="P79" i="53"/>
  <c r="B129" i="67"/>
  <c r="B130" i="67" s="1"/>
  <c r="B149" i="67" s="1"/>
  <c r="D129" i="67"/>
  <c r="D130" i="67" s="1"/>
  <c r="D149" i="67" s="1"/>
  <c r="D33" i="67"/>
  <c r="D85" i="67" s="1"/>
  <c r="B67" i="67"/>
  <c r="B68" i="67" s="1"/>
  <c r="B85" i="67" s="1"/>
  <c r="B36" i="46"/>
  <c r="G85" i="71" l="1"/>
  <c r="B154" i="71"/>
  <c r="B45" i="71"/>
  <c r="G44" i="71"/>
  <c r="G45" i="71" l="1"/>
  <c r="G154" i="71"/>
  <c r="B227" i="71"/>
  <c r="G227" i="71" s="1"/>
  <c r="B228" i="71" l="1"/>
  <c r="G228" i="71" l="1"/>
  <c r="B254" i="71"/>
  <c r="G254" i="71" s="1"/>
  <c r="U57" i="68" l="1"/>
  <c r="R38" i="68"/>
  <c r="R57" i="68"/>
  <c r="P51" i="68"/>
  <c r="B131" i="36"/>
  <c r="P32" i="68"/>
  <c r="B37" i="36"/>
  <c r="B207" i="35"/>
  <c r="B15" i="46" l="1"/>
  <c r="B75" i="35" l="1"/>
  <c r="F79" i="68" l="1"/>
  <c r="F65" i="68"/>
  <c r="F68" i="46"/>
  <c r="C68" i="46"/>
  <c r="F46" i="46"/>
  <c r="E46" i="46"/>
  <c r="C46" i="46"/>
  <c r="C50" i="46" s="1"/>
  <c r="B46" i="46"/>
  <c r="F36" i="46"/>
  <c r="F50" i="46" s="1"/>
  <c r="E36" i="46"/>
  <c r="C36" i="46"/>
  <c r="F23" i="46"/>
  <c r="E23" i="46"/>
  <c r="C23" i="46"/>
  <c r="B23" i="46"/>
  <c r="C15" i="46"/>
  <c r="C25" i="46" s="1"/>
  <c r="F14" i="46"/>
  <c r="F15" i="46" s="1"/>
  <c r="F25" i="46" s="1"/>
  <c r="E14" i="46"/>
  <c r="C14" i="46"/>
  <c r="C52" i="46" l="1"/>
  <c r="B50" i="46"/>
  <c r="B25" i="46"/>
  <c r="E50" i="46"/>
  <c r="E25" i="46"/>
  <c r="B52" i="46" l="1"/>
  <c r="B62" i="46" s="1"/>
  <c r="E62" i="46"/>
  <c r="F60" i="68"/>
  <c r="P26" i="68" l="1"/>
  <c r="E58" i="68"/>
  <c r="E43" i="68"/>
  <c r="E22" i="68"/>
  <c r="E8" i="68"/>
  <c r="E37" i="68"/>
  <c r="E31" i="68"/>
  <c r="P31" i="68"/>
  <c r="D14" i="68"/>
  <c r="E14" i="68" s="1"/>
  <c r="P14" i="68" s="1"/>
  <c r="F22" i="68" l="1"/>
  <c r="Z57" i="37"/>
  <c r="Z60" i="37"/>
  <c r="B100" i="35" l="1"/>
  <c r="E50" i="68" l="1"/>
  <c r="E29" i="68"/>
  <c r="N79" i="68" l="1"/>
  <c r="K79" i="68"/>
  <c r="H79" i="68"/>
  <c r="H81" i="68" s="1"/>
  <c r="D79" i="68"/>
  <c r="P77" i="68"/>
  <c r="E77" i="68"/>
  <c r="P76" i="68"/>
  <c r="E70" i="68"/>
  <c r="P69" i="68"/>
  <c r="P68" i="68"/>
  <c r="E65" i="68"/>
  <c r="P64" i="68"/>
  <c r="Q64" i="68" s="1"/>
  <c r="P59" i="68"/>
  <c r="P57" i="68"/>
  <c r="P56" i="68"/>
  <c r="P54" i="68"/>
  <c r="P53" i="68"/>
  <c r="P52" i="68"/>
  <c r="P49" i="68"/>
  <c r="P48" i="68"/>
  <c r="P47" i="68"/>
  <c r="P46" i="68"/>
  <c r="P45" i="68"/>
  <c r="P37" i="68"/>
  <c r="P36" i="68"/>
  <c r="P35" i="68"/>
  <c r="P34" i="68"/>
  <c r="M31" i="68"/>
  <c r="P29" i="68"/>
  <c r="Q38" i="68" s="1"/>
  <c r="E79" i="68"/>
  <c r="P21" i="68"/>
  <c r="Q22" i="68" s="1"/>
  <c r="P20" i="68"/>
  <c r="P43" i="68"/>
  <c r="M14" i="68"/>
  <c r="L14" i="68"/>
  <c r="L79" i="68" s="1"/>
  <c r="I14" i="68"/>
  <c r="P8" i="68"/>
  <c r="Z59" i="37"/>
  <c r="Z58" i="37"/>
  <c r="C67" i="35"/>
  <c r="C75" i="36"/>
  <c r="B113" i="35"/>
  <c r="Q57" i="68" l="1"/>
  <c r="Q70" i="68"/>
  <c r="Q77" i="68"/>
  <c r="L81" i="68"/>
  <c r="P79" i="68"/>
  <c r="S65" i="68" l="1"/>
  <c r="B67" i="35" l="1"/>
  <c r="B139" i="35" l="1"/>
  <c r="B142" i="36" l="1"/>
  <c r="M45" i="37" l="1"/>
  <c r="Z45" i="37" s="1"/>
  <c r="N45" i="37"/>
  <c r="V66" i="37"/>
  <c r="U66" i="37"/>
  <c r="T66" i="37"/>
  <c r="S66" i="37"/>
  <c r="Q66" i="37"/>
  <c r="W66" i="37"/>
  <c r="J66" i="37"/>
  <c r="I66" i="37"/>
  <c r="E66" i="37"/>
  <c r="D66" i="37"/>
  <c r="C66" i="37"/>
  <c r="Z64" i="37"/>
  <c r="Z63" i="37"/>
  <c r="Z61" i="37"/>
  <c r="N56" i="37"/>
  <c r="M56" i="37"/>
  <c r="N55" i="37"/>
  <c r="M55" i="37"/>
  <c r="N54" i="37"/>
  <c r="M54" i="37"/>
  <c r="N53" i="37"/>
  <c r="M53" i="37"/>
  <c r="Z53" i="37" s="1"/>
  <c r="N52" i="37"/>
  <c r="M52" i="37"/>
  <c r="N51" i="37"/>
  <c r="M51" i="37"/>
  <c r="N50" i="37"/>
  <c r="M50" i="37"/>
  <c r="N49" i="37"/>
  <c r="M49" i="37"/>
  <c r="Z49" i="37" s="1"/>
  <c r="N48" i="37"/>
  <c r="M48" i="37"/>
  <c r="N47" i="37"/>
  <c r="M47" i="37"/>
  <c r="Z47" i="37" s="1"/>
  <c r="N46" i="37"/>
  <c r="M46" i="37"/>
  <c r="Z46" i="37" s="1"/>
  <c r="N44" i="37"/>
  <c r="M44" i="37"/>
  <c r="N43" i="37"/>
  <c r="M43" i="37"/>
  <c r="Z43" i="37" s="1"/>
  <c r="N42" i="37"/>
  <c r="M42" i="37"/>
  <c r="N41" i="37"/>
  <c r="M41" i="37"/>
  <c r="N40" i="37"/>
  <c r="M40" i="37"/>
  <c r="N39" i="37"/>
  <c r="M39" i="37"/>
  <c r="N38" i="37"/>
  <c r="M38" i="37"/>
  <c r="N37" i="37"/>
  <c r="M37" i="37"/>
  <c r="N36" i="37"/>
  <c r="M36" i="37"/>
  <c r="N35" i="37"/>
  <c r="M35" i="37"/>
  <c r="N34" i="37"/>
  <c r="M34" i="37"/>
  <c r="Z34" i="37" s="1"/>
  <c r="N33" i="37"/>
  <c r="M33" i="37"/>
  <c r="N31" i="37"/>
  <c r="M31" i="37"/>
  <c r="N30" i="37"/>
  <c r="M30" i="37"/>
  <c r="N29" i="37"/>
  <c r="M29" i="37"/>
  <c r="Z29" i="37" s="1"/>
  <c r="N28" i="37"/>
  <c r="M28" i="37"/>
  <c r="Z28" i="37" s="1"/>
  <c r="N27" i="37"/>
  <c r="M27" i="37"/>
  <c r="Z27" i="37" s="1"/>
  <c r="N26" i="37"/>
  <c r="M26" i="37"/>
  <c r="N25" i="37"/>
  <c r="M25" i="37"/>
  <c r="N24" i="37"/>
  <c r="M24" i="37"/>
  <c r="N23" i="37"/>
  <c r="M23" i="37"/>
  <c r="N22" i="37"/>
  <c r="M22" i="37"/>
  <c r="Z22" i="37" s="1"/>
  <c r="N21" i="37"/>
  <c r="M21" i="37"/>
  <c r="Z21" i="37" s="1"/>
  <c r="N20" i="37"/>
  <c r="M20" i="37"/>
  <c r="N19" i="37"/>
  <c r="M19" i="37"/>
  <c r="N18" i="37"/>
  <c r="M18" i="37"/>
  <c r="N17" i="37"/>
  <c r="M17" i="37"/>
  <c r="N16" i="37"/>
  <c r="M16" i="37"/>
  <c r="Z16" i="37" s="1"/>
  <c r="N15" i="37"/>
  <c r="M15" i="37"/>
  <c r="N14" i="37"/>
  <c r="M14" i="37"/>
  <c r="N13" i="37"/>
  <c r="M13" i="37"/>
  <c r="N12" i="37"/>
  <c r="M12" i="37"/>
  <c r="Z12" i="37" s="1"/>
  <c r="N11" i="37"/>
  <c r="M11" i="37"/>
  <c r="N32" i="37"/>
  <c r="M32" i="37"/>
  <c r="Z32" i="37" s="1"/>
  <c r="N10" i="37"/>
  <c r="M10" i="37"/>
  <c r="N9" i="37"/>
  <c r="M9" i="37"/>
  <c r="Z9" i="37" s="1"/>
  <c r="N8" i="37"/>
  <c r="M8" i="37"/>
  <c r="Z8" i="37" s="1"/>
  <c r="N7" i="37"/>
  <c r="M7" i="37"/>
  <c r="N6" i="37"/>
  <c r="M6" i="37"/>
  <c r="Z37" i="37" l="1"/>
  <c r="Z40" i="37"/>
  <c r="Z36" i="37"/>
  <c r="Z41" i="37"/>
  <c r="Z15" i="37"/>
  <c r="Z11" i="37"/>
  <c r="Z42" i="37"/>
  <c r="Z35" i="37"/>
  <c r="Z20" i="37"/>
  <c r="Z10" i="37"/>
  <c r="Z31" i="37"/>
  <c r="Z7" i="37"/>
  <c r="Z39" i="37"/>
  <c r="Z56" i="37"/>
  <c r="Z17" i="37"/>
  <c r="Z14" i="37"/>
  <c r="Z54" i="37"/>
  <c r="Z38" i="37"/>
  <c r="Z33" i="37"/>
  <c r="Z30" i="37"/>
  <c r="Z19" i="37"/>
  <c r="Z18" i="37"/>
  <c r="Z50" i="37"/>
  <c r="Z55" i="37"/>
  <c r="Z48" i="37"/>
  <c r="Z44" i="37"/>
  <c r="Z26" i="37"/>
  <c r="Z25" i="37"/>
  <c r="Z13" i="37"/>
  <c r="Z52" i="37"/>
  <c r="Z51" i="37"/>
  <c r="Z24" i="37"/>
  <c r="Z23" i="37"/>
  <c r="W68" i="37"/>
  <c r="O77" i="37" s="1"/>
  <c r="U68" i="37"/>
  <c r="Z6" i="37"/>
  <c r="N66" i="37"/>
  <c r="M66" i="37"/>
  <c r="O71" i="37" s="1"/>
  <c r="Z65" i="37" l="1"/>
  <c r="O72" i="37"/>
  <c r="O74" i="37" s="1"/>
  <c r="O80" i="37" s="1"/>
  <c r="S71" i="37"/>
  <c r="B155" i="35" l="1"/>
  <c r="C100" i="35" l="1"/>
  <c r="B25" i="35" l="1"/>
  <c r="B35" i="35" s="1"/>
  <c r="C65" i="36" l="1"/>
  <c r="B182" i="35" l="1"/>
  <c r="B146" i="36" l="1"/>
  <c r="B65" i="36" l="1"/>
  <c r="B15" i="35" l="1"/>
  <c r="B36" i="35" s="1"/>
  <c r="B10" i="36" l="1"/>
  <c r="B19" i="36" l="1"/>
  <c r="C19" i="36"/>
  <c r="B75" i="36" l="1"/>
  <c r="C57" i="36"/>
  <c r="C49" i="36"/>
  <c r="C50" i="36" s="1"/>
  <c r="C15" i="35" l="1"/>
  <c r="C25" i="35" l="1"/>
  <c r="C35" i="35" s="1"/>
  <c r="B126" i="36" l="1"/>
  <c r="B111" i="36" l="1"/>
  <c r="C10" i="36"/>
  <c r="C14" i="36"/>
  <c r="C15" i="36" s="1"/>
  <c r="B14" i="36"/>
  <c r="B15" i="36" s="1"/>
  <c r="C25" i="36"/>
  <c r="B25" i="36"/>
  <c r="B49" i="36"/>
  <c r="B50" i="36" s="1"/>
  <c r="B57" i="36"/>
  <c r="C80" i="36"/>
  <c r="B80" i="36"/>
  <c r="B90" i="36"/>
  <c r="C130" i="36"/>
  <c r="B130" i="36"/>
  <c r="C90" i="36" l="1"/>
  <c r="C91" i="36" s="1"/>
  <c r="B91" i="36"/>
  <c r="B76" i="36"/>
  <c r="C111" i="36"/>
  <c r="B26" i="36"/>
  <c r="B132" i="36"/>
  <c r="C26" i="36"/>
  <c r="C29" i="36" s="1"/>
  <c r="C30" i="36" s="1"/>
  <c r="C31" i="36" s="1"/>
  <c r="C126" i="36"/>
  <c r="C131" i="36" s="1"/>
  <c r="B29" i="36" l="1"/>
  <c r="B31" i="36" s="1"/>
  <c r="C76" i="36"/>
  <c r="C132" i="36"/>
  <c r="B133" i="36"/>
  <c r="B134" i="36" s="1"/>
  <c r="B135" i="36" l="1"/>
  <c r="B136" i="36" s="1"/>
  <c r="C133" i="36"/>
  <c r="C134" i="36" s="1"/>
  <c r="C135" i="36" s="1"/>
  <c r="C136" i="36" s="1"/>
  <c r="B169" i="35"/>
  <c r="B160" i="35"/>
  <c r="B145" i="35"/>
  <c r="C139" i="35"/>
  <c r="B136" i="35"/>
  <c r="B132" i="35"/>
  <c r="C125" i="35"/>
  <c r="B118" i="35"/>
  <c r="C78" i="35"/>
  <c r="B78" i="35"/>
  <c r="B85" i="35" s="1"/>
  <c r="B149" i="35" l="1"/>
  <c r="C160" i="35"/>
  <c r="C118" i="35"/>
  <c r="C75" i="35"/>
  <c r="C85" i="35" s="1"/>
  <c r="C113" i="35"/>
  <c r="C132" i="35"/>
  <c r="C182" i="35"/>
  <c r="C155" i="35"/>
  <c r="C169" i="35"/>
  <c r="C145" i="35"/>
  <c r="C136" i="35"/>
  <c r="B183" i="35"/>
  <c r="B38" i="35" l="1"/>
  <c r="B39" i="35" s="1"/>
  <c r="B184" i="35"/>
  <c r="B185" i="35" s="1"/>
  <c r="C149" i="35"/>
  <c r="C183" i="35"/>
  <c r="C36" i="35"/>
  <c r="C38" i="35" s="1"/>
  <c r="C39" i="35" s="1"/>
  <c r="C184" i="35" l="1"/>
  <c r="C185" i="35" s="1"/>
  <c r="C186" i="35" s="1"/>
  <c r="B186" i="35"/>
  <c r="C195" i="35" l="1"/>
  <c r="B140" i="36" s="1"/>
  <c r="B150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Marjorie Case</author>
  </authors>
  <commentList>
    <comment ref="H34" authorId="0" shapeId="0" xr:uid="{C061CB80-C52E-4C69-AD66-2F567A88E5AD}">
      <text>
        <r>
          <rPr>
            <b/>
            <sz val="9"/>
            <color indexed="81"/>
            <rFont val="Tahoma"/>
            <family val="2"/>
          </rPr>
          <t>Marjorie Case:</t>
        </r>
        <r>
          <rPr>
            <sz val="9"/>
            <color indexed="81"/>
            <rFont val="Tahoma"/>
            <family val="2"/>
          </rPr>
          <t xml:space="preserve">
set up invoices for amounts due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Marjorie Case</author>
  </authors>
  <commentList>
    <comment ref="H34" authorId="0" shapeId="0" xr:uid="{D0394D61-8781-4F3A-AC87-6A8F4DEEEDB8}">
      <text>
        <r>
          <rPr>
            <b/>
            <sz val="9"/>
            <color indexed="81"/>
            <rFont val="Tahoma"/>
            <family val="2"/>
          </rPr>
          <t>Marjorie Case:</t>
        </r>
        <r>
          <rPr>
            <sz val="9"/>
            <color indexed="81"/>
            <rFont val="Tahoma"/>
            <family val="2"/>
          </rPr>
          <t xml:space="preserve">
set up invoices for amounts due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Marjorie Case</author>
  </authors>
  <commentList>
    <comment ref="W23" authorId="0" shapeId="0" xr:uid="{4229B18D-1F4C-4AD5-8F5E-746848BBB2D8}">
      <text>
        <r>
          <rPr>
            <b/>
            <sz val="9"/>
            <color indexed="81"/>
            <rFont val="Tahoma"/>
            <family val="2"/>
          </rPr>
          <t>Marjorie Case:</t>
        </r>
        <r>
          <rPr>
            <sz val="9"/>
            <color indexed="81"/>
            <rFont val="Tahoma"/>
            <family val="2"/>
          </rPr>
          <t xml:space="preserve">
inv for returned check</t>
        </r>
      </text>
    </comment>
  </commentList>
</comments>
</file>

<file path=xl/sharedStrings.xml><?xml version="1.0" encoding="utf-8"?>
<sst xmlns="http://schemas.openxmlformats.org/spreadsheetml/2006/main" count="1069" uniqueCount="772">
  <si>
    <t>Income</t>
  </si>
  <si>
    <t>Total Income</t>
  </si>
  <si>
    <t>Gross Profit</t>
  </si>
  <si>
    <t>Net Income</t>
  </si>
  <si>
    <t>Camp</t>
  </si>
  <si>
    <t>Dedicated</t>
  </si>
  <si>
    <t>Missions</t>
  </si>
  <si>
    <t>TOTAL</t>
  </si>
  <si>
    <t>Other Income</t>
  </si>
  <si>
    <t>Total Other Income</t>
  </si>
  <si>
    <t>Net Other Income</t>
  </si>
  <si>
    <t>Balance</t>
  </si>
  <si>
    <t>Pledges Paid</t>
  </si>
  <si>
    <t>Balance Due</t>
  </si>
  <si>
    <t>Total A/R</t>
  </si>
  <si>
    <t>PIN</t>
  </si>
  <si>
    <t>Church</t>
  </si>
  <si>
    <t>Members</t>
  </si>
  <si>
    <t>Presbytery</t>
  </si>
  <si>
    <t>GA</t>
  </si>
  <si>
    <t>Per Capita</t>
  </si>
  <si>
    <t>Mission</t>
  </si>
  <si>
    <t>ADDISON</t>
  </si>
  <si>
    <t>ANDOVER</t>
  </si>
  <si>
    <t>ATLANTA</t>
  </si>
  <si>
    <t>BATH</t>
  </si>
  <si>
    <t>BIG FLATS</t>
  </si>
  <si>
    <t>BURDETT</t>
  </si>
  <si>
    <t>CANANDAIGUA</t>
  </si>
  <si>
    <t>CANISTEO</t>
  </si>
  <si>
    <t>COHOCTON</t>
  </si>
  <si>
    <t>CORNING</t>
  </si>
  <si>
    <t>ELMIRA FIRST</t>
  </si>
  <si>
    <t>ELMIRA NORTH</t>
  </si>
  <si>
    <t>GENEVA</t>
  </si>
  <si>
    <t>HAMMONDSPORT</t>
  </si>
  <si>
    <t>HECTOR</t>
  </si>
  <si>
    <t>HORNELL</t>
  </si>
  <si>
    <t>HORSEHEADS</t>
  </si>
  <si>
    <t>HOWARD</t>
  </si>
  <si>
    <t>HURON</t>
  </si>
  <si>
    <t>ITHACA</t>
  </si>
  <si>
    <t>JASPER</t>
  </si>
  <si>
    <t>JUNIUS</t>
  </si>
  <si>
    <t>LYONS</t>
  </si>
  <si>
    <t>MARION</t>
  </si>
  <si>
    <t>MORELAND</t>
  </si>
  <si>
    <t>NEWARK</t>
  </si>
  <si>
    <t>OAKS CORNERS</t>
  </si>
  <si>
    <t>ONTARIO CENTER</t>
  </si>
  <si>
    <t>OVID</t>
  </si>
  <si>
    <t>PAINTED POST</t>
  </si>
  <si>
    <t>PENN YAN</t>
  </si>
  <si>
    <t>PHELPS</t>
  </si>
  <si>
    <t>PRATTSBURGH</t>
  </si>
  <si>
    <t>PULTENEY</t>
  </si>
  <si>
    <t>ROCK STREAM</t>
  </si>
  <si>
    <t>SENECA #9</t>
  </si>
  <si>
    <t>SENECA FALLS</t>
  </si>
  <si>
    <t>SHORTSVILLE</t>
  </si>
  <si>
    <t>SODUS</t>
  </si>
  <si>
    <t>SPENCER</t>
  </si>
  <si>
    <t>TRUMANSBURG</t>
  </si>
  <si>
    <t>WATERLOO</t>
  </si>
  <si>
    <t>WATKINS GLEN</t>
  </si>
  <si>
    <t>Presbytery of Geneva</t>
  </si>
  <si>
    <t>Restricted Accounts</t>
  </si>
  <si>
    <t>Subtractions</t>
  </si>
  <si>
    <t>Inc AC#</t>
  </si>
  <si>
    <t>Exp AC#</t>
  </si>
  <si>
    <t>Released /
Reclassed</t>
  </si>
  <si>
    <t>Unrestricted Funds</t>
  </si>
  <si>
    <t>Youth Triennium</t>
  </si>
  <si>
    <t>7050_D</t>
  </si>
  <si>
    <t>8010_D</t>
  </si>
  <si>
    <t>Candidates Grant Fund</t>
  </si>
  <si>
    <t>7100_D</t>
  </si>
  <si>
    <t>8020_D</t>
  </si>
  <si>
    <t>7326_D</t>
  </si>
  <si>
    <t>8171_D</t>
  </si>
  <si>
    <t>Hay Grant</t>
  </si>
  <si>
    <t>8180_D</t>
  </si>
  <si>
    <t>Peacemaking</t>
  </si>
  <si>
    <t>7000_D</t>
  </si>
  <si>
    <t>7150_D</t>
  </si>
  <si>
    <t>Two-Cents-A-Meal</t>
  </si>
  <si>
    <t>7300_D</t>
  </si>
  <si>
    <t>8100_D</t>
  </si>
  <si>
    <t>Interest in Life Income Charitable gifts</t>
  </si>
  <si>
    <t>7290_D</t>
  </si>
  <si>
    <t>8090_D</t>
  </si>
  <si>
    <t>Permanently Restricted Funds</t>
  </si>
  <si>
    <t>Camp Whitman Endowment</t>
  </si>
  <si>
    <t>8165_D</t>
  </si>
  <si>
    <t>Presbytery General Endowment</t>
  </si>
  <si>
    <t>Restricted Income &amp; Expenses</t>
  </si>
  <si>
    <t>Giving and Other Receipts (Income)</t>
  </si>
  <si>
    <t>Presbytery Receipts</t>
  </si>
  <si>
    <t>Presbytery Mission</t>
  </si>
  <si>
    <t>Other Presbytery Receipts</t>
  </si>
  <si>
    <t>Total Presbytery Receipts</t>
  </si>
  <si>
    <t>Camp Whitman Receipts</t>
  </si>
  <si>
    <t xml:space="preserve">     Camper &amp; Group Fees</t>
  </si>
  <si>
    <t xml:space="preserve">     Presbytery of Geneva Mission</t>
  </si>
  <si>
    <t xml:space="preserve">     Other Donations</t>
  </si>
  <si>
    <t>Total Camp Receipts</t>
  </si>
  <si>
    <t>Total Giving &amp; Other Receipts</t>
  </si>
  <si>
    <t>Ministry &amp; Mission (Expenditures)</t>
  </si>
  <si>
    <t>Presbytery Expenses</t>
  </si>
  <si>
    <t>Total Personnel</t>
  </si>
  <si>
    <t>Total Mission</t>
  </si>
  <si>
    <t>Total Operations</t>
  </si>
  <si>
    <t>Total Presbytery Expenses</t>
  </si>
  <si>
    <t>Camp Whitman Expenses</t>
  </si>
  <si>
    <t>Year-Round Staff Salaries</t>
  </si>
  <si>
    <t>Camp Summer Salaries</t>
  </si>
  <si>
    <t>Program Expenses</t>
  </si>
  <si>
    <t>Operating Expenses</t>
  </si>
  <si>
    <t>Total Camp Whitman Expenses</t>
  </si>
  <si>
    <t>Total Ministry &amp; Mission</t>
  </si>
  <si>
    <r>
      <t>Budget Surplus /</t>
    </r>
    <r>
      <rPr>
        <b/>
        <sz val="12"/>
        <color indexed="10"/>
        <rFont val="Calibri"/>
        <family val="2"/>
      </rPr>
      <t xml:space="preserve"> (Shortage)</t>
    </r>
  </si>
  <si>
    <t>Membership</t>
  </si>
  <si>
    <t>Presbytery per capita</t>
  </si>
  <si>
    <t>Synod per capita</t>
  </si>
  <si>
    <t>GA per capita</t>
  </si>
  <si>
    <t>Total per capita</t>
  </si>
  <si>
    <t>Net Income Per Balance Sheet</t>
  </si>
  <si>
    <t>ASSETS</t>
  </si>
  <si>
    <t>TOTAL ASSETS</t>
  </si>
  <si>
    <t>Mission allocation to Camp</t>
  </si>
  <si>
    <t xml:space="preserve"> Salary Exp - Other</t>
  </si>
  <si>
    <t>In/Out</t>
  </si>
  <si>
    <t>West Virginia Mission</t>
  </si>
  <si>
    <t>7215_D</t>
  </si>
  <si>
    <t>Presbytery Disaster Relief</t>
  </si>
  <si>
    <t>74475.10</t>
  </si>
  <si>
    <t>Emergency Pastoral Care fund</t>
  </si>
  <si>
    <t>Labyrinth at Camp</t>
  </si>
  <si>
    <t xml:space="preserve">   Current Assets</t>
  </si>
  <si>
    <t xml:space="preserve">      Bank Accounts</t>
  </si>
  <si>
    <t xml:space="preserve">         103 Community Bank - Savings</t>
  </si>
  <si>
    <t xml:space="preserve">         104 Community Bank - CCCF</t>
  </si>
  <si>
    <t xml:space="preserve">         135 Presbyterian Foundation</t>
  </si>
  <si>
    <t xml:space="preserve">            135-1 Fidelity-Camp Whitman</t>
  </si>
  <si>
    <t xml:space="preserve">         Total 135 Presbyterian Foundation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</si>
  <si>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</si>
  <si>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</si>
  <si>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</si>
  <si>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   11001 A/R - YTD Adj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</si>
  <si>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</si>
  <si>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</si>
  <si>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</si>
  <si>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   13000 Inventory</t>
  </si>
  <si>
    <t xml:space="preserve">         14400 Prepaid Expenses</t>
  </si>
  <si>
    <t xml:space="preserve">      Total Other Current Assets</t>
  </si>
  <si>
    <t xml:space="preserve">   Total Current Assets</t>
  </si>
  <si>
    <t xml:space="preserve">   Fixed Assets</t>
  </si>
  <si>
    <t xml:space="preserve">      10000 Presbytery</t>
  </si>
  <si>
    <t xml:space="preserve">         14000 FA - Presbytery</t>
  </si>
  <si>
    <t xml:space="preserve">            14210 Building</t>
  </si>
  <si>
    <t xml:space="preserve">            14500 Leasehold improvements</t>
  </si>
  <si>
    <t xml:space="preserve">            14800 Furniture and Equipment</t>
  </si>
  <si>
    <t xml:space="preserve">         Total 14000 FA - Presbytery</t>
  </si>
  <si>
    <t xml:space="preserve">         14200 A/D - Presbytery</t>
  </si>
  <si>
    <t xml:space="preserve">            14100 Building - A/D</t>
  </si>
  <si>
    <t xml:space="preserve">            14510 Leasehold Improv - A/D</t>
  </si>
  <si>
    <t xml:space="preserve">            14810 Furniture &amp; Fixtures - A/D</t>
  </si>
  <si>
    <t xml:space="preserve">            15301 Accumulated Amortization</t>
  </si>
  <si>
    <t xml:space="preserve">         Total 14200 A/D - Presbytery</t>
  </si>
  <si>
    <t xml:space="preserve">         15000 FA - Camp</t>
  </si>
  <si>
    <t xml:space="preserve">            15100 Buildings</t>
  </si>
  <si>
    <t xml:space="preserve">            15150 Land</t>
  </si>
  <si>
    <t xml:space="preserve">            15200 Improvements</t>
  </si>
  <si>
    <t xml:space="preserve">            15300 Furniture &amp; Equipment</t>
  </si>
  <si>
    <t xml:space="preserve">               15310 Boats</t>
  </si>
  <si>
    <t xml:space="preserve">               15340 Vehicles/Tractors</t>
  </si>
  <si>
    <t xml:space="preserve">            Total 15600 Vehicles &amp; Boats</t>
  </si>
  <si>
    <t xml:space="preserve">         Total 15000 FA - Camp</t>
  </si>
  <si>
    <t xml:space="preserve">         15700 A/D - Camp</t>
  </si>
  <si>
    <t xml:space="preserve">            15110 Buildings - A/D</t>
  </si>
  <si>
    <t xml:space="preserve">            15450 Vehicles &amp; Boats - A/D</t>
  </si>
  <si>
    <t xml:space="preserve">               15311 Boats - A/D</t>
  </si>
  <si>
    <t xml:space="preserve">               15341 Vehicles - A/D</t>
  </si>
  <si>
    <t xml:space="preserve">            Total 15450 Vehicles &amp; Boats - A/D</t>
  </si>
  <si>
    <t xml:space="preserve">         Total 15700 A/D - Camp</t>
  </si>
  <si>
    <t xml:space="preserve">      Total 10000 Presbytery</t>
  </si>
  <si>
    <t xml:space="preserve">   Total Fixed Assets</t>
  </si>
  <si>
    <t xml:space="preserve">   Other Assets</t>
  </si>
  <si>
    <t xml:space="preserve">      300 Marketable Securities</t>
  </si>
  <si>
    <t xml:space="preserve">         303 Endowment-Presbytery Gen'l</t>
  </si>
  <si>
    <t xml:space="preserve">         304 Endowment- Camp Whitman</t>
  </si>
  <si>
    <t xml:space="preserve">         401 Int PF GP Endowment</t>
  </si>
  <si>
    <t xml:space="preserve">      Total 300 Marketable Securities</t>
  </si>
  <si>
    <t xml:space="preserve">   Total Other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</si>
  <si>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</si>
  <si>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</si>
  <si>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</si>
  <si>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</si>
  <si>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</si>
  <si>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</si>
  <si>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Credit Cards</t>
  </si>
  <si>
    <t xml:space="preserve">         Total Credit Cards</t>
  </si>
  <si>
    <t xml:space="preserve">         Other Current Liabilities</t>
  </si>
  <si>
    <t xml:space="preserve">            26000 CB - Building Loan</t>
  </si>
  <si>
    <t xml:space="preserve">            26660 Accrued Payroll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</si>
  <si>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</si>
  <si>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</si>
  <si>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</si>
  <si>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</si>
  <si>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   3200.10 Operations</t>
  </si>
  <si>
    <t xml:space="preserve">         3200.20 Board Designated</t>
  </si>
  <si>
    <t xml:space="preserve">      Net Income</t>
  </si>
  <si>
    <t xml:space="preserve">   Total Equity</t>
  </si>
  <si>
    <t>TOTAL LIABILITIES AND EQUITY</t>
  </si>
  <si>
    <t xml:space="preserve">   4000.00 Presbytery Receipts</t>
  </si>
  <si>
    <t xml:space="preserve">      4200.00 Mission - Presbytery</t>
  </si>
  <si>
    <t xml:space="preserve">         3100_M Presbytery Mission</t>
  </si>
  <si>
    <t xml:space="preserve">         3101_M PM - YTD A/R Adj</t>
  </si>
  <si>
    <t xml:space="preserve">      Total 4200.00 Mission - Presbytery</t>
  </si>
  <si>
    <t xml:space="preserve">         4200 Operation</t>
  </si>
  <si>
    <t xml:space="preserve">            4200_O Presbytery Per Capita</t>
  </si>
  <si>
    <t xml:space="preserve">            4202_O PC - YTD A/R Adj</t>
  </si>
  <si>
    <t xml:space="preserve">         Total 4200 Operation</t>
  </si>
  <si>
    <t xml:space="preserve">      4303.00 Other Presbytery Reciepts</t>
  </si>
  <si>
    <t xml:space="preserve">         3200 Synod</t>
  </si>
  <si>
    <t xml:space="preserve">            3200_M Synod Mission</t>
  </si>
  <si>
    <t xml:space="preserve">         Total 3200 Synod</t>
  </si>
  <si>
    <t xml:space="preserve">         4440_O Miscellaneous</t>
  </si>
  <si>
    <t xml:space="preserve">         Total 4440_O Miscellaneous</t>
  </si>
  <si>
    <t xml:space="preserve">      Total 4303.00 Other Presbytery Reciepts</t>
  </si>
  <si>
    <t xml:space="preserve">   Total 4000.00 Presbytery Receipts</t>
  </si>
  <si>
    <t xml:space="preserve">   4999 CAMP WHITMAN INCOME</t>
  </si>
  <si>
    <t xml:space="preserve">      1001_W Camper &amp; Group Fees</t>
  </si>
  <si>
    <t xml:space="preserve">         1000_W Camper Fees</t>
  </si>
  <si>
    <t xml:space="preserve">         1050_W Rental Group Fees</t>
  </si>
  <si>
    <t xml:space="preserve">      Total 1001_W Camper &amp; Group Fees</t>
  </si>
  <si>
    <t xml:space="preserve">      1601_W Other Donations</t>
  </si>
  <si>
    <t xml:space="preserve">         1300_W Camp Mission/Scholarship Income</t>
  </si>
  <si>
    <t xml:space="preserve">            1350_W Pres. of Genesee Local Church</t>
  </si>
  <si>
    <t xml:space="preserve">            1400_W Pres. of Genesee Valley Mission</t>
  </si>
  <si>
    <t xml:space="preserve">         Total 1300_W Camp Mission/Scholarship Income</t>
  </si>
  <si>
    <t xml:space="preserve">         1600_W Misc. Income</t>
  </si>
  <si>
    <t xml:space="preserve">      Total 1601_W Other Donations</t>
  </si>
  <si>
    <t xml:space="preserve">   Total 4999 CAMP WHITMAN INCOME</t>
  </si>
  <si>
    <t>Expenses</t>
  </si>
  <si>
    <t xml:space="preserve">   2111 CAMP WHITMAN EXPENDITURES</t>
  </si>
  <si>
    <t xml:space="preserve">      2113_W Year Round Staff Salaries</t>
  </si>
  <si>
    <t xml:space="preserve">         2603_W Camp Director</t>
  </si>
  <si>
    <t xml:space="preserve">            2661_W Cash Salary</t>
  </si>
  <si>
    <t xml:space="preserve">            2663_W Board of Pension</t>
  </si>
  <si>
    <t xml:space="preserve">         Total 2603_W Camp Director</t>
  </si>
  <si>
    <t xml:space="preserve">      Total 2113_W Year Round Staff Salaries</t>
  </si>
  <si>
    <t xml:space="preserve">      2117_W Camp Payroll Other</t>
  </si>
  <si>
    <t xml:space="preserve">         2125_W FICA_Camp</t>
  </si>
  <si>
    <t xml:space="preserve">         2127_W Recruitement</t>
  </si>
  <si>
    <t xml:space="preserve">      2200_W Program Expense</t>
  </si>
  <si>
    <t xml:space="preserve">         2205_W Bank Fees</t>
  </si>
  <si>
    <t xml:space="preserve">         2210_W Computer Software &amp; Support</t>
  </si>
  <si>
    <t xml:space="preserve">         2251_W Office Expenses/Support</t>
  </si>
  <si>
    <t xml:space="preserve">            2255_W Postage</t>
  </si>
  <si>
    <t xml:space="preserve">         Total 2251_W Office Expenses/Support</t>
  </si>
  <si>
    <t xml:space="preserve">         2256_W Professional Developement</t>
  </si>
  <si>
    <t xml:space="preserve">         2275_W Registration Materials</t>
  </si>
  <si>
    <t xml:space="preserve">         2290_W Marketing &amp; Advertising</t>
  </si>
  <si>
    <t xml:space="preserve">         2750_W Permits/Memberships</t>
  </si>
  <si>
    <t xml:space="preserve">      Total 2200_W Program Expense</t>
  </si>
  <si>
    <t xml:space="preserve">      2500.00 Camp Operating Expenses</t>
  </si>
  <si>
    <t xml:space="preserve">         2150_W Insurance</t>
  </si>
  <si>
    <t xml:space="preserve">            2155_W Property/Liability/Accident</t>
  </si>
  <si>
    <t xml:space="preserve">         Total 2150_W Insurance</t>
  </si>
  <si>
    <t xml:space="preserve">         2300_W Utilities</t>
  </si>
  <si>
    <t xml:space="preserve">            2310_W Telephone &amp; Internet</t>
  </si>
  <si>
    <t xml:space="preserve">         Total 2300_W Utilities</t>
  </si>
  <si>
    <t xml:space="preserve">      Total 2500.00 Camp Operating Expenses</t>
  </si>
  <si>
    <t xml:space="preserve">   Total 2111 CAMP WHITMAN EXPENDITURES</t>
  </si>
  <si>
    <t xml:space="preserve">   2222.00 Presbytery Expenses</t>
  </si>
  <si>
    <t xml:space="preserve">      6000_O Salaries and Benefits</t>
  </si>
  <si>
    <t xml:space="preserve">         6001_O Executive Salaries</t>
  </si>
  <si>
    <t xml:space="preserve">         Total 6001_O Executive Salaries</t>
  </si>
  <si>
    <t xml:space="preserve">         6020_O Stated Clerk</t>
  </si>
  <si>
    <t xml:space="preserve">            6021_O Cash Salary</t>
  </si>
  <si>
    <t xml:space="preserve">         Total 6020_O Stated Clerk</t>
  </si>
  <si>
    <t xml:space="preserve">            6036_O Board of Pension/Fidelity Inv.</t>
  </si>
  <si>
    <t xml:space="preserve">         6222_O Benefits</t>
  </si>
  <si>
    <t xml:space="preserve">            6220_O Disability Insurance</t>
  </si>
  <si>
    <t xml:space="preserve">         Total 6222_O Benefits</t>
  </si>
  <si>
    <t xml:space="preserve">      Total 6000_O Salaries and Benefits</t>
  </si>
  <si>
    <t xml:space="preserve">      7100.00 Operating Expenses</t>
  </si>
  <si>
    <t xml:space="preserve">         6600_O Office Expenses</t>
  </si>
  <si>
    <t xml:space="preserve">            6615_O Maintenance &amp; Repairs</t>
  </si>
  <si>
    <t xml:space="preserve">            6620_O Utilities</t>
  </si>
  <si>
    <t xml:space="preserve">            6630_O Telephone</t>
  </si>
  <si>
    <t xml:space="preserve">            6651_O Bank Fees</t>
  </si>
  <si>
    <t xml:space="preserve">            6655_O Equip. Leases/Service Contracts</t>
  </si>
  <si>
    <t xml:space="preserve">            6660_O Equipment Purchases</t>
  </si>
  <si>
    <t xml:space="preserve">            6661_O Computer Software-Hardware</t>
  </si>
  <si>
    <t xml:space="preserve">            6665_O Website</t>
  </si>
  <si>
    <t xml:space="preserve">            6670_O Office Supplies &amp; Hospitality</t>
  </si>
  <si>
    <t xml:space="preserve">            6755_O Building Loan</t>
  </si>
  <si>
    <t xml:space="preserve">         Total 6600_O Office Expenses</t>
  </si>
  <si>
    <t xml:space="preserve">         6700 Other Operating Expenses</t>
  </si>
  <si>
    <t xml:space="preserve">            6720_O Insurance-Office</t>
  </si>
  <si>
    <t xml:space="preserve">            6770_O GA/Synod Meetings</t>
  </si>
  <si>
    <t xml:space="preserve">         Total 6700 Other Operating Expenses</t>
  </si>
  <si>
    <t xml:space="preserve">      Total 7100.00 Operating Expenses</t>
  </si>
  <si>
    <t xml:space="preserve">   Total 2222.00 Presbytery Expenses</t>
  </si>
  <si>
    <t>Total Expenses</t>
  </si>
  <si>
    <t>Net Operating Income</t>
  </si>
  <si>
    <t xml:space="preserve">   7000 DEDICATED INCOME</t>
  </si>
  <si>
    <t xml:space="preserve">      7150_D Two-Cents-A-Meal</t>
  </si>
  <si>
    <t xml:space="preserve">   Total 7000 DEDICATED INCOME</t>
  </si>
  <si>
    <t xml:space="preserve">         2243_W Committee Exp.</t>
  </si>
  <si>
    <t xml:space="preserve">         2113_W Year Round Staff Salaries</t>
  </si>
  <si>
    <t xml:space="preserve">            2603_W Camp Director</t>
  </si>
  <si>
    <t xml:space="preserve">               2661_W Cash Salary</t>
  </si>
  <si>
    <t xml:space="preserve">         2117_W Camp Payroll Other</t>
  </si>
  <si>
    <t xml:space="preserve">            2235_W Mileage/Meals for Staff</t>
  </si>
  <si>
    <t xml:space="preserve">            6800 Outside Contractors</t>
  </si>
  <si>
    <t xml:space="preserve">               6810_O Payroll Service</t>
  </si>
  <si>
    <t xml:space="preserve">            1500_W Pres. of Geneva Endowment Int</t>
  </si>
  <si>
    <t xml:space="preserve">            1550_W Pres. of Geneva Mission Pledge</t>
  </si>
  <si>
    <t xml:space="preserve">         1610_W Fund Raising Events</t>
  </si>
  <si>
    <t xml:space="preserve">         1662_W Camp Store</t>
  </si>
  <si>
    <t xml:space="preserve">      2000.20 Camp Summer Salaries</t>
  </si>
  <si>
    <t xml:space="preserve">         2010_W Aquatic Director</t>
  </si>
  <si>
    <t xml:space="preserve">         2032_W Nurse</t>
  </si>
  <si>
    <t xml:space="preserve">         2040_W Head Cook</t>
  </si>
  <si>
    <t xml:space="preserve">         2110_W Counselors</t>
  </si>
  <si>
    <t xml:space="preserve">      Total 2000.20 Camp Summer Salaries</t>
  </si>
  <si>
    <t xml:space="preserve">         2604_W Camp Property Manager</t>
  </si>
  <si>
    <t xml:space="preserve">            2665_W Cash Salary</t>
  </si>
  <si>
    <t xml:space="preserve">         Total 2604_W Camp Property Manager</t>
  </si>
  <si>
    <t xml:space="preserve">         2605_W Assistant Property Manager</t>
  </si>
  <si>
    <t xml:space="preserve">            2668_W Cash Salary</t>
  </si>
  <si>
    <t xml:space="preserve">         2120_W Workers Comp_Camp</t>
  </si>
  <si>
    <t xml:space="preserve">         2225_W Arts &amp; Crafts</t>
  </si>
  <si>
    <t xml:space="preserve">         2230_W General Program Expenses</t>
  </si>
  <si>
    <t xml:space="preserve">            2252_W Office Supplies</t>
  </si>
  <si>
    <t xml:space="preserve">         2270_W Camp Store</t>
  </si>
  <si>
    <t xml:space="preserve">         2271_W Staff T Shirts</t>
  </si>
  <si>
    <t xml:space="preserve">         2280_W Program Equipment</t>
  </si>
  <si>
    <t xml:space="preserve">         2291_W Website</t>
  </si>
  <si>
    <t xml:space="preserve">         2400_W Swimming Pool</t>
  </si>
  <si>
    <t xml:space="preserve">            2410_W Chemicals</t>
  </si>
  <si>
    <t xml:space="preserve">            2420_W Equipment and Repair</t>
  </si>
  <si>
    <t xml:space="preserve">         Total 2400_W Swimming Pool</t>
  </si>
  <si>
    <t xml:space="preserve">         2500_W Lakefront</t>
  </si>
  <si>
    <t xml:space="preserve">            2510_W Boat Maintenance &amp; Repair</t>
  </si>
  <si>
    <t xml:space="preserve">            2530_W Equipment &amp; Repair</t>
  </si>
  <si>
    <t xml:space="preserve">         Total 2500_W Lakefront</t>
  </si>
  <si>
    <t xml:space="preserve">         2600_W Medical</t>
  </si>
  <si>
    <t xml:space="preserve">            2610_W Medical Supplies &amp; Equipment</t>
  </si>
  <si>
    <t xml:space="preserve">         Total 2600_W Medical</t>
  </si>
  <si>
    <t xml:space="preserve">         2700_W Kitchen</t>
  </si>
  <si>
    <t xml:space="preserve">            2710_W Food</t>
  </si>
  <si>
    <t xml:space="preserve">            2720_W Kitchen &amp; Cleaning Supplies</t>
  </si>
  <si>
    <t xml:space="preserve">            2730_W Equipment &amp; Repair</t>
  </si>
  <si>
    <t xml:space="preserve">         Total 2700_W Kitchen</t>
  </si>
  <si>
    <t xml:space="preserve">            2154_W Vehicle</t>
  </si>
  <si>
    <t xml:space="preserve">            2320_W Electric</t>
  </si>
  <si>
    <t xml:space="preserve">            2330_W Propane Gas</t>
  </si>
  <si>
    <t xml:space="preserve">         2800_W Vehicle Maintenance</t>
  </si>
  <si>
    <t xml:space="preserve">            2810_W Cars &amp; Trucks</t>
  </si>
  <si>
    <t xml:space="preserve">            2820_W Tractor</t>
  </si>
  <si>
    <t xml:space="preserve">            2830_W Golf Carts</t>
  </si>
  <si>
    <t xml:space="preserve">            2840_W Mower</t>
  </si>
  <si>
    <t xml:space="preserve">            2850_W Fuel</t>
  </si>
  <si>
    <t xml:space="preserve">            2860_W Large Equip</t>
  </si>
  <si>
    <t xml:space="preserve">         Total 2800_W Vehicle Maintenance</t>
  </si>
  <si>
    <t xml:space="preserve">         2900 General Maintenance</t>
  </si>
  <si>
    <t xml:space="preserve">            2910_W Small Equipment Repair</t>
  </si>
  <si>
    <t xml:space="preserve">            2920_W New Equipment &amp; Tools</t>
  </si>
  <si>
    <t xml:space="preserve">            2940_W Port a Johns</t>
  </si>
  <si>
    <t xml:space="preserve">            2950_W Refuse Removal Fees</t>
  </si>
  <si>
    <t xml:space="preserve">            2960_W Fire Extinguishers</t>
  </si>
  <si>
    <t xml:space="preserve">            2970_W General Supplies</t>
  </si>
  <si>
    <t xml:space="preserve">            2980_W Water System Supplies &amp; Repairs</t>
  </si>
  <si>
    <t xml:space="preserve">            2990_W Lumber &amp; Building Supplies</t>
  </si>
  <si>
    <t xml:space="preserve">         Total 2900 General Maintenance</t>
  </si>
  <si>
    <t xml:space="preserve">            6027_O Travel/Business</t>
  </si>
  <si>
    <t xml:space="preserve">            6250_O Worker's Comp</t>
  </si>
  <si>
    <t xml:space="preserve">            6270_O Unemployment Insurance</t>
  </si>
  <si>
    <t xml:space="preserve">      6800.00 MISSION EXPENDITURES</t>
  </si>
  <si>
    <t xml:space="preserve">         5100_M Presbytery Endorsed Projects</t>
  </si>
  <si>
    <t xml:space="preserve">            5155_M Youth Triennium</t>
  </si>
  <si>
    <t xml:space="preserve">         Total 5100_M Presbytery Endorsed Projects</t>
  </si>
  <si>
    <t xml:space="preserve">         5350_M Mission Allocation to Camp</t>
  </si>
  <si>
    <t xml:space="preserve">         6500_M Mission Priority of Presbytery</t>
  </si>
  <si>
    <t xml:space="preserve">         Total 6500_M Mission Priority of Presbytery</t>
  </si>
  <si>
    <t xml:space="preserve">      Total 6800.00 MISSION EXPENDITURES</t>
  </si>
  <si>
    <t xml:space="preserve">            6730_O Synod Per Capita</t>
  </si>
  <si>
    <t xml:space="preserve">            6740_O GA Per Capita</t>
  </si>
  <si>
    <t xml:space="preserve">            6775_O Presbytery Meeting Expenses</t>
  </si>
  <si>
    <t xml:space="preserve">            6795_O Staff Travel</t>
  </si>
  <si>
    <t xml:space="preserve">      3200.00 Net Assets without Restrictions</t>
  </si>
  <si>
    <t xml:space="preserve">      Total 3200.00 Net Assets without Restrictions</t>
  </si>
  <si>
    <t xml:space="preserve">      3440.00 Net Assets with Restrictions</t>
  </si>
  <si>
    <t xml:space="preserve">         3440.10 Perm. Restricted Net Assets</t>
  </si>
  <si>
    <t xml:space="preserve">      Total 3440.00 Net Assets with Restrictions</t>
  </si>
  <si>
    <t xml:space="preserve">            1301_W Misc Camper Donations/Scholar.</t>
  </si>
  <si>
    <t xml:space="preserve">         2725_W Fund Raising Expenses</t>
  </si>
  <si>
    <t xml:space="preserve">            6900 Professional Fees</t>
  </si>
  <si>
    <t xml:space="preserve">      4200_OP Per Capita</t>
  </si>
  <si>
    <t xml:space="preserve">      Total 4200_OP Per Capita</t>
  </si>
  <si>
    <t xml:space="preserve">         2128_W Payroll Service Fees</t>
  </si>
  <si>
    <t xml:space="preserve">            6504_M Leader Care</t>
  </si>
  <si>
    <t xml:space="preserve">            6509_M Vitality</t>
  </si>
  <si>
    <t xml:space="preserve">            6511_M Committee on Ministry</t>
  </si>
  <si>
    <t xml:space="preserve">            6662_O Committee Expenses</t>
  </si>
  <si>
    <t xml:space="preserve">            6750_O Legal Expenses</t>
  </si>
  <si>
    <t xml:space="preserve">         2101_W CIT &amp; Mission Trip Leader</t>
  </si>
  <si>
    <t xml:space="preserve">         2265_W Staff Training</t>
  </si>
  <si>
    <t xml:space="preserve">            2731_W Kitchen Supplies/Equipment</t>
  </si>
  <si>
    <t xml:space="preserve">            2865_W Vehicle Rental</t>
  </si>
  <si>
    <t xml:space="preserve">            1450_W Pres. of Geneva Churches</t>
  </si>
  <si>
    <t xml:space="preserve">            6685_O Staff Development</t>
  </si>
  <si>
    <t xml:space="preserve">               6820_O Bookkeeping</t>
  </si>
  <si>
    <t>Small Church Fund</t>
  </si>
  <si>
    <t xml:space="preserve">               6910_O Auditor Contract</t>
  </si>
  <si>
    <t>Board Designated</t>
  </si>
  <si>
    <t>Unappropriated Endow Earnings - rest camp</t>
  </si>
  <si>
    <t>unappropriated Endow Earnings -</t>
  </si>
  <si>
    <t>Total</t>
  </si>
  <si>
    <t xml:space="preserve">            15320 Furniture &amp; Fixtures - A/D</t>
  </si>
  <si>
    <t xml:space="preserve">         3440.30 TR - Time Restricted</t>
  </si>
  <si>
    <t xml:space="preserve">            6050_O Presbytery Leader</t>
  </si>
  <si>
    <t xml:space="preserve">            Total 6050_O Presbytery Leader</t>
  </si>
  <si>
    <t xml:space="preserve">               6057_O Study Leave</t>
  </si>
  <si>
    <t>Camp Whitman Scholarships</t>
  </si>
  <si>
    <t xml:space="preserve">            2930_W Pump Holding Tanks</t>
  </si>
  <si>
    <t xml:space="preserve">         5200_M Mission &amp; Witness (inc. grants)</t>
  </si>
  <si>
    <t xml:space="preserve">            26555 Def Revenue Camp</t>
  </si>
  <si>
    <t xml:space="preserve">               6053_O SECA Offset/FICA</t>
  </si>
  <si>
    <t xml:space="preserve">            Total 6800 Outside Contractors</t>
  </si>
  <si>
    <t xml:space="preserve">            Total 6900 Professional Fees</t>
  </si>
  <si>
    <t xml:space="preserve">            2236_W Staff Appreciation</t>
  </si>
  <si>
    <t xml:space="preserve">               6051_O Cash Salary - Operations</t>
  </si>
  <si>
    <t xml:space="preserve">         2232_W Staff Expenses</t>
  </si>
  <si>
    <t xml:space="preserve">         Total 2232_W Staff Expenses</t>
  </si>
  <si>
    <t xml:space="preserve">            6799_O Adj for Uncollectables</t>
  </si>
  <si>
    <t>Net Operating/Missions- income/expenses</t>
  </si>
  <si>
    <t>Net Other Income/other expenses</t>
  </si>
  <si>
    <t>Ties to Balance Sheet</t>
  </si>
  <si>
    <t xml:space="preserve">               6060_O - Fidelity - Retirement</t>
  </si>
  <si>
    <t xml:space="preserve">            6023_O Seca Offset/Fica</t>
  </si>
  <si>
    <t xml:space="preserve">            Payroll Liabilities</t>
  </si>
  <si>
    <t xml:space="preserve">               Direct Deposit Payable</t>
  </si>
  <si>
    <t xml:space="preserve">               NY PFL</t>
  </si>
  <si>
    <t xml:space="preserve">               NY SDI</t>
  </si>
  <si>
    <t xml:space="preserve">               NYS Employment Taxes</t>
  </si>
  <si>
    <t xml:space="preserve">            Total Payroll Liabilities</t>
  </si>
  <si>
    <t xml:space="preserve">            4500.O Interest</t>
  </si>
  <si>
    <t xml:space="preserve">              6840_O Computer Services</t>
  </si>
  <si>
    <t>Vital Congregations Work</t>
  </si>
  <si>
    <t>Net Other Other - Investment gains/losses</t>
  </si>
  <si>
    <t>Ministry Support - Temporarily Restricted</t>
  </si>
  <si>
    <t>Camp - Temporarily Restricted</t>
  </si>
  <si>
    <t xml:space="preserve">            2128_W Payroll Service Fees</t>
  </si>
  <si>
    <t>Balance Sheet</t>
  </si>
  <si>
    <t xml:space="preserve">            2604_W Camp Property Manager</t>
  </si>
  <si>
    <t xml:space="preserve">               2665_W Cash Salary</t>
  </si>
  <si>
    <t xml:space="preserve">    Misc Other</t>
  </si>
  <si>
    <t>Net Dedicated Accts</t>
  </si>
  <si>
    <t xml:space="preserve">            2850.00 Community Bank</t>
  </si>
  <si>
    <t xml:space="preserve">            Total 2850.00 Community Bank</t>
  </si>
  <si>
    <t xml:space="preserve">            6023_O Payroll Taxes</t>
  </si>
  <si>
    <t xml:space="preserve">         2205_W BankFees/Commissions</t>
  </si>
  <si>
    <t xml:space="preserve">               2850.25 Susan Orr</t>
  </si>
  <si>
    <t xml:space="preserve">            2125_W Payroll Taxes - Camp</t>
  </si>
  <si>
    <t>CW Equipment Fund</t>
  </si>
  <si>
    <t xml:space="preserve">         101 Community Bank - Operating  (1525)</t>
  </si>
  <si>
    <t xml:space="preserve">         105 Community - Camp Checking (0670)</t>
  </si>
  <si>
    <t xml:space="preserve">         106 Community - Camp Savings 2473</t>
  </si>
  <si>
    <t xml:space="preserve">            6640_O Postage/PO Box</t>
  </si>
  <si>
    <t xml:space="preserve">         Total 6030_O Communication</t>
  </si>
  <si>
    <t>8124_D</t>
  </si>
  <si>
    <t>8156_D</t>
  </si>
  <si>
    <t xml:space="preserve">            6790_O Moving Expenses</t>
  </si>
  <si>
    <t>Weston</t>
  </si>
  <si>
    <t>Wolcott</t>
  </si>
  <si>
    <t>Naples</t>
  </si>
  <si>
    <t>Presbytary Mission</t>
  </si>
  <si>
    <t xml:space="preserve">         1100_W Holiday Weekend Rental Fees</t>
  </si>
  <si>
    <t xml:space="preserve">         1557_W Meals/Program Fees</t>
  </si>
  <si>
    <t xml:space="preserve">            1551_W Membership Dues</t>
  </si>
  <si>
    <t xml:space="preserve">        2020_W Program Staff/Life Guards</t>
  </si>
  <si>
    <t xml:space="preserve">            2611_W Cash Salary</t>
  </si>
  <si>
    <t xml:space="preserve">            2254_W Staff Travel</t>
  </si>
  <si>
    <t xml:space="preserve">               6058_O Travel/Business </t>
  </si>
  <si>
    <t xml:space="preserve">         6030_O Administrative Service</t>
  </si>
  <si>
    <t xml:space="preserve">            6031_O Cash Salary - Communication</t>
  </si>
  <si>
    <t xml:space="preserve">            6041_O Cash Salary - Financial Assistant</t>
  </si>
  <si>
    <t xml:space="preserve">            6065-O Payroll Taxes</t>
  </si>
  <si>
    <t xml:space="preserve">           6756_O - Home Office reimbursement</t>
  </si>
  <si>
    <t xml:space="preserve">            6856_O Rent Storage Space</t>
  </si>
  <si>
    <t xml:space="preserve">            6031_O Cash Salary - Communications</t>
  </si>
  <si>
    <t xml:space="preserve">         Total 6030_O Administrative Service</t>
  </si>
  <si>
    <t xml:space="preserve">            6756_O Home Office Reimbursement</t>
  </si>
  <si>
    <t>Continuing Education Scholarhips for Leaders</t>
  </si>
  <si>
    <t xml:space="preserve">             6058_M - Travel Business Mission</t>
  </si>
  <si>
    <t xml:space="preserve">         102 Community Savings - MM</t>
  </si>
  <si>
    <t xml:space="preserve">         110 Community Bank - Mexico Mission</t>
  </si>
  <si>
    <t xml:space="preserve">         120 PayPal</t>
  </si>
  <si>
    <t xml:space="preserve">         130 Presbytery Mission Exchange</t>
  </si>
  <si>
    <t xml:space="preserve">            14900 Vehicles</t>
  </si>
  <si>
    <t xml:space="preserve">            15210 Improvements - A/D</t>
  </si>
  <si>
    <t xml:space="preserve">         301 Smith Barney MM - 13902-19</t>
  </si>
  <si>
    <t xml:space="preserve">         301.1 Morgan Stanley - MM 111909</t>
  </si>
  <si>
    <t xml:space="preserve">            301.11 Cash, MM</t>
  </si>
  <si>
    <t xml:space="preserve">            301.13 Stocks</t>
  </si>
  <si>
    <t xml:space="preserve">            301.14 Mutual Funds</t>
  </si>
  <si>
    <t xml:space="preserve">         Total 301.1 Morgan Stanley - MM 111909</t>
  </si>
  <si>
    <t xml:space="preserve">         302 Endowment- Canoga Church</t>
  </si>
  <si>
    <t xml:space="preserve">               2850.10 Elena Delhagen</t>
  </si>
  <si>
    <t xml:space="preserve">               2850.20 Lea Kone</t>
  </si>
  <si>
    <t xml:space="preserve">            26510 Due to</t>
  </si>
  <si>
    <t xml:space="preserve">            26550 Deferred Revenue</t>
  </si>
  <si>
    <t xml:space="preserve">            27850 Due To - NCD Special Offering</t>
  </si>
  <si>
    <t xml:space="preserve">            6280 Federal Witholding</t>
  </si>
  <si>
    <t xml:space="preserve">            6285 FICA-Employee Share</t>
  </si>
  <si>
    <t xml:space="preserve">            6290 State Witholding</t>
  </si>
  <si>
    <t>Depreciation (Building Sale</t>
  </si>
  <si>
    <t xml:space="preserve">         </t>
  </si>
  <si>
    <t xml:space="preserve">            6041_O Cash Salary (Financial Assistant)</t>
  </si>
  <si>
    <t>Restricted
Income</t>
  </si>
  <si>
    <t>Reallocations General</t>
  </si>
  <si>
    <t>Other Budget Support Fund Expenses</t>
  </si>
  <si>
    <t>Prior Year adjustment</t>
  </si>
  <si>
    <t>Net Dedicated Accounts</t>
  </si>
  <si>
    <t>Net Camp Activity</t>
  </si>
  <si>
    <t>Prior Year Adj</t>
  </si>
  <si>
    <t>Income YTD - New Covenent - Operations</t>
  </si>
  <si>
    <t>Other Income New covenant</t>
  </si>
  <si>
    <t xml:space="preserve">         2090_W DD Camp Coordinator</t>
  </si>
  <si>
    <t xml:space="preserve">        2015_W Office Assistant</t>
  </si>
  <si>
    <t xml:space="preserve">               CA PIT / SDI</t>
  </si>
  <si>
    <t xml:space="preserve">               CT Income Tax</t>
  </si>
  <si>
    <t xml:space="preserve">               ME Income Tax</t>
  </si>
  <si>
    <t>8175_D</t>
  </si>
  <si>
    <t xml:space="preserve">         3440.40 TR-Unappropriated Endowment Earnings</t>
  </si>
  <si>
    <t xml:space="preserve">         2099_W Uncategorized Expenses Camp</t>
  </si>
  <si>
    <t>Vitality</t>
  </si>
  <si>
    <t xml:space="preserve">            6027_O Per diem</t>
  </si>
  <si>
    <t xml:space="preserve">          5135_O - New Church Development</t>
  </si>
  <si>
    <t>united way - Roc the Day - Camp</t>
  </si>
  <si>
    <t xml:space="preserve">            6715_O -  Dues</t>
  </si>
  <si>
    <t>Arkport</t>
  </si>
  <si>
    <t xml:space="preserve">            2100_W Graded Camp/Program  Co-ordinator</t>
  </si>
  <si>
    <t xml:space="preserve">                       Rental Group Host</t>
  </si>
  <si>
    <t xml:space="preserve">                       Housekeeping</t>
  </si>
  <si>
    <t xml:space="preserve">               6056_O Board of Pensions</t>
  </si>
  <si>
    <t>Synod Grant Camp</t>
  </si>
  <si>
    <t>Fusion on Fire</t>
  </si>
  <si>
    <t xml:space="preserve">            4500_O Interest Income</t>
  </si>
  <si>
    <t>After YE</t>
  </si>
  <si>
    <t xml:space="preserve">            6265_O Payroll Taxes - Admin Services</t>
  </si>
  <si>
    <t xml:space="preserve">               6052_O Housing</t>
  </si>
  <si>
    <t>Hattie Hardman Fund</t>
  </si>
  <si>
    <t xml:space="preserve">          Undistributed income</t>
  </si>
  <si>
    <t xml:space="preserve">               MEMBER DENTAL</t>
  </si>
  <si>
    <t>7228_D</t>
  </si>
  <si>
    <t>8008_D</t>
  </si>
  <si>
    <t>8001_D</t>
  </si>
  <si>
    <t>8229_D</t>
  </si>
  <si>
    <t>8050_D</t>
  </si>
  <si>
    <t>7250_D</t>
  </si>
  <si>
    <t>7155_D</t>
  </si>
  <si>
    <t>7350_D</t>
  </si>
  <si>
    <t>7229_D</t>
  </si>
  <si>
    <t>7230_D</t>
  </si>
  <si>
    <t>8007_D</t>
  </si>
  <si>
    <t>USDA_NRCS</t>
  </si>
  <si>
    <t xml:space="preserve">         2045_W Assistant Cook</t>
  </si>
  <si>
    <t xml:space="preserve">         2103_W Chaplain Intern</t>
  </si>
  <si>
    <t xml:space="preserve">         2106_W Video/Media</t>
  </si>
  <si>
    <t xml:space="preserve">               MA Income Tax</t>
  </si>
  <si>
    <t xml:space="preserve">            2129_W NYS DBL</t>
  </si>
  <si>
    <t xml:space="preserve">            2995_W - Outside Contractors</t>
  </si>
  <si>
    <t>Ernest Sead</t>
  </si>
  <si>
    <t xml:space="preserve">         2126_W Other/Outside Contractor</t>
  </si>
  <si>
    <t xml:space="preserve">        2222_W Permits</t>
  </si>
  <si>
    <t>usda_NRCS</t>
  </si>
  <si>
    <t>D&amp;L Supply</t>
  </si>
  <si>
    <t>Operations</t>
  </si>
  <si>
    <t>Change in Life Interest</t>
  </si>
  <si>
    <t xml:space="preserve">               28010 Federal Taxes (941/944)</t>
  </si>
  <si>
    <t xml:space="preserve">               28020 NYS Income Tax</t>
  </si>
  <si>
    <t>John Dority</t>
  </si>
  <si>
    <t xml:space="preserve">         2102_W Program Director/Assistant Director</t>
  </si>
  <si>
    <t xml:space="preserve">         2214_W Registration &amp; Program Administration</t>
  </si>
  <si>
    <t xml:space="preserve">           2621_W Lawn Mowing</t>
  </si>
  <si>
    <t xml:space="preserve">           2622_W Maintenance</t>
  </si>
  <si>
    <t xml:space="preserve">           2623_W Housekeeping</t>
  </si>
  <si>
    <t xml:space="preserve">           2624_W Assistant Directro - Camper &amp; Counselor Care</t>
  </si>
  <si>
    <t xml:space="preserve">           2625_W Farm &amp; Garden Manager</t>
  </si>
  <si>
    <t xml:space="preserve">            6501_M - Other</t>
  </si>
  <si>
    <t xml:space="preserve">             6796 _O Travel Presbytery Mtgs</t>
  </si>
  <si>
    <t xml:space="preserve">               6054_O  Major Medical/Dental</t>
  </si>
  <si>
    <t xml:space="preserve"> Contractors</t>
  </si>
  <si>
    <t>Profit and Loss</t>
  </si>
  <si>
    <t>7351._D</t>
  </si>
  <si>
    <t>Hammondsport Scholarship</t>
  </si>
  <si>
    <t xml:space="preserve">      7325_D In &amp; Out</t>
  </si>
  <si>
    <t xml:space="preserve">           9999 - Uncatergorized Exp</t>
  </si>
  <si>
    <t xml:space="preserve">           6251_O other</t>
  </si>
  <si>
    <t>Total 2117_W Camp Payroll Other</t>
  </si>
  <si>
    <t xml:space="preserve">          2526_W First Presbyterian </t>
  </si>
  <si>
    <t>Red Creek</t>
  </si>
  <si>
    <t xml:space="preserve">               6058_M travel Missions</t>
  </si>
  <si>
    <t xml:space="preserve">            6266_O Payroll taxes - Operations</t>
  </si>
  <si>
    <t>7226_W</t>
  </si>
  <si>
    <t>Grant Donation</t>
  </si>
  <si>
    <t xml:space="preserve">          6298_O FSA</t>
  </si>
  <si>
    <t xml:space="preserve">            6298_O FSA</t>
  </si>
  <si>
    <t xml:space="preserve">            27862 FSA</t>
  </si>
  <si>
    <t xml:space="preserve">            Payroll Corrections</t>
  </si>
  <si>
    <t xml:space="preserve">         3440.15 TR - Purpose Restrictions</t>
  </si>
  <si>
    <t xml:space="preserve">            2127_W Recruitement</t>
  </si>
  <si>
    <t>Total Camp Whitman Scholarships</t>
  </si>
  <si>
    <t xml:space="preserve">          1670_W Gift in Kind - Camp</t>
  </si>
  <si>
    <t xml:space="preserve">        2627_Hospitality Mananger</t>
  </si>
  <si>
    <t xml:space="preserve">            2156_W Nurse Malpractice Insurance</t>
  </si>
  <si>
    <t xml:space="preserve">          2728_W Gift in Kind Camp</t>
  </si>
  <si>
    <t>7126</t>
  </si>
  <si>
    <t>Hammondsport Mission Reserve</t>
  </si>
  <si>
    <t>Prior Year - AdJ Heveron</t>
  </si>
  <si>
    <t xml:space="preserve"> Per Capita</t>
  </si>
  <si>
    <t xml:space="preserve">         305 Camp Whitman Scholarship Fund</t>
  </si>
  <si>
    <t xml:space="preserve">            New York Department of Taxation and Finance Payable</t>
  </si>
  <si>
    <t xml:space="preserve">      32000 Unrestricted Net Assets</t>
  </si>
  <si>
    <t xml:space="preserve">         2060_W Kitchen Staff</t>
  </si>
  <si>
    <t xml:space="preserve">         2625_W Farm &amp; Gardner</t>
  </si>
  <si>
    <t xml:space="preserve">        2102_W  Program Director/Creative Week Director</t>
  </si>
  <si>
    <t xml:space="preserve">            2728_W GIK Camp</t>
  </si>
  <si>
    <t xml:space="preserve">      555 Property Dissolution of Church</t>
  </si>
  <si>
    <t xml:space="preserve">  undistributed income Ops</t>
  </si>
  <si>
    <t xml:space="preserve">            4512_O  Undistributed Income</t>
  </si>
  <si>
    <t xml:space="preserve">      800 Opening Bal Equity</t>
  </si>
  <si>
    <t xml:space="preserve">            2214_W Camp - Registration Coordinator</t>
  </si>
  <si>
    <t>Keep</t>
  </si>
  <si>
    <t xml:space="preserve">           2237_W Mileage</t>
  </si>
  <si>
    <t xml:space="preserve">     Undistributed Income</t>
  </si>
  <si>
    <t>Net Investment Activity camp</t>
  </si>
  <si>
    <t>Net Investment Activity Ops</t>
  </si>
  <si>
    <t xml:space="preserve">Prior YR Adj </t>
  </si>
  <si>
    <t xml:space="preserve">         12500 Start Up Cash</t>
  </si>
  <si>
    <t>Paid 2024</t>
  </si>
  <si>
    <t>2024  PER CAPITA &amp; MISSION</t>
  </si>
  <si>
    <t xml:space="preserve">              6154_O  - Presbytery Leader Formation </t>
  </si>
  <si>
    <t xml:space="preserve">Budget Overview: Camp 2024 Budget - FY23 P&amp;L </t>
  </si>
  <si>
    <t xml:space="preserve">          1665_W - Interest/Dividends - Investments</t>
  </si>
  <si>
    <t xml:space="preserve">             6669_O Reimbursements Staff</t>
  </si>
  <si>
    <t>East Palmyra</t>
  </si>
  <si>
    <t xml:space="preserve">       2129_W  NYS DBL</t>
  </si>
  <si>
    <t xml:space="preserve">            2662_W Major Medical</t>
  </si>
  <si>
    <t xml:space="preserve">Budget Overview: Operating &amp; Mission 2024 - FY24 P&amp;L </t>
  </si>
  <si>
    <t>Presbytery of Geneva - 2024</t>
  </si>
  <si>
    <t>2023
Budget</t>
  </si>
  <si>
    <t xml:space="preserve">               2662_W Major Medical</t>
  </si>
  <si>
    <t xml:space="preserve">      1700_W Undistributed Income - Camp</t>
  </si>
  <si>
    <t xml:space="preserve">            2237_W Mileage</t>
  </si>
  <si>
    <t xml:space="preserve">               6056_O Board of Pensions/Medical</t>
  </si>
  <si>
    <t xml:space="preserve">               6154_O Presby Leader Formation Course</t>
  </si>
  <si>
    <t xml:space="preserve">        Uncatorgize Camp Expenses</t>
  </si>
  <si>
    <t xml:space="preserve">            4404_O Other - including Synod</t>
  </si>
  <si>
    <t>Other Expenses</t>
  </si>
  <si>
    <t xml:space="preserve">   8000 DEDICATED EXPENSES</t>
  </si>
  <si>
    <t xml:space="preserve">      8175_D In &amp; Out</t>
  </si>
  <si>
    <t xml:space="preserve">   Total 8000 DEDICATED EXPENSES</t>
  </si>
  <si>
    <t>Total Other Expenses</t>
  </si>
  <si>
    <t xml:space="preserve">            2120_W Workers Comp_Camp</t>
  </si>
  <si>
    <t xml:space="preserve">            2126_W Other/Outside Contractors</t>
  </si>
  <si>
    <t xml:space="preserve">               2628_W First Presbyterian</t>
  </si>
  <si>
    <t>Capital Campaign</t>
  </si>
  <si>
    <t>BELLONA - Memorial Prsby Church of Bellona</t>
  </si>
  <si>
    <t>PALMYRA Western</t>
  </si>
  <si>
    <t xml:space="preserve">         1600_W Misc. Other Income/Grants/Interest</t>
  </si>
  <si>
    <t xml:space="preserve">               6058_M Travel/Business - Mission</t>
  </si>
  <si>
    <t xml:space="preserve">               6058_O Travel/Business</t>
  </si>
  <si>
    <t xml:space="preserve">        1660_W  Other income - Grants </t>
  </si>
  <si>
    <t xml:space="preserve">   Investment Income Activity</t>
  </si>
  <si>
    <t xml:space="preserve">      1501_W New Covenant - Gains/(Losses)</t>
  </si>
  <si>
    <t xml:space="preserve">      4520_0 Investment Gains /losses New Covenent</t>
  </si>
  <si>
    <t xml:space="preserve">      4545_O Interest/Dividends-Investments</t>
  </si>
  <si>
    <t xml:space="preserve">   Total Investment Income Activity</t>
  </si>
  <si>
    <t xml:space="preserve">Gains/Interest/losses/fees - New Covenant  </t>
  </si>
  <si>
    <t xml:space="preserve">    Grants</t>
  </si>
  <si>
    <t xml:space="preserve">            15600 Vehicles &amp; Boats</t>
  </si>
  <si>
    <t xml:space="preserve">            2102_W Program Director/Creative Week Director</t>
  </si>
  <si>
    <t>The Mankind Project</t>
  </si>
  <si>
    <t>AR Other</t>
  </si>
  <si>
    <t>Hammondsport Camp Scholarship</t>
  </si>
  <si>
    <t xml:space="preserve">               6054_O Major Medical/Dental</t>
  </si>
  <si>
    <t xml:space="preserve">            6046_O Payroll Taxes - Finance</t>
  </si>
  <si>
    <t xml:space="preserve">      7111_D Camp _ TR</t>
  </si>
  <si>
    <t xml:space="preserve">         7003_D Capital Campaign</t>
  </si>
  <si>
    <t xml:space="preserve">      Total 7111_D Camp _ TR</t>
  </si>
  <si>
    <t xml:space="preserve">   Recruitment</t>
  </si>
  <si>
    <t>2023  Final</t>
  </si>
  <si>
    <t xml:space="preserve">            6022_O Per Diem</t>
  </si>
  <si>
    <t xml:space="preserve">      7226_W Camp Whitman Scholarships</t>
  </si>
  <si>
    <t>.</t>
  </si>
  <si>
    <t xml:space="preserve">            2110_W Counselors</t>
  </si>
  <si>
    <t xml:space="preserve">            4210_O Synod Support Grant</t>
  </si>
  <si>
    <t xml:space="preserve">      1665_W Interest/Dividends - Investments</t>
  </si>
  <si>
    <t xml:space="preserve">       2080_W Off Season Maintenance Workers</t>
  </si>
  <si>
    <t xml:space="preserve">         2081_W Housekeeper/Maint Assist</t>
  </si>
  <si>
    <t xml:space="preserve">        2119_W Pathfinder Counselor</t>
  </si>
  <si>
    <t xml:space="preserve">           2663_W Life Insurance</t>
  </si>
  <si>
    <t xml:space="preserve">     4210_O  Synod Support Grant</t>
  </si>
  <si>
    <t xml:space="preserve">            4404_O Other Including Synod</t>
  </si>
  <si>
    <t xml:space="preserve">         2000.20 Camp Summer/Winter Salaries</t>
  </si>
  <si>
    <t xml:space="preserve">            2010_W Aquatic Director</t>
  </si>
  <si>
    <t xml:space="preserve">            2015_W Office Assistant/Operations Coordinator</t>
  </si>
  <si>
    <t xml:space="preserve">            2032_W Nurse</t>
  </si>
  <si>
    <t xml:space="preserve">            2040_W Cook</t>
  </si>
  <si>
    <t xml:space="preserve">            2060_W Kitchen Staff</t>
  </si>
  <si>
    <t xml:space="preserve">            2080_W Off Season Maintenance Workers</t>
  </si>
  <si>
    <t xml:space="preserve">            2081 Maintenance Assistant</t>
  </si>
  <si>
    <t xml:space="preserve">            2119_W Pathfinder Counselor</t>
  </si>
  <si>
    <t xml:space="preserve">               2663 Life Insurance</t>
  </si>
  <si>
    <t xml:space="preserve">      2000.00 Camp Payrolls</t>
  </si>
  <si>
    <t xml:space="preserve">            2336_W Nurse - Night</t>
  </si>
  <si>
    <t xml:space="preserve">            2795_W Kitchen Manager</t>
  </si>
  <si>
    <t xml:space="preserve">         Total 2000.20 Camp Summer/Winter Salaries</t>
  </si>
  <si>
    <t xml:space="preserve">            Total 2603_W Camp Director</t>
  </si>
  <si>
    <t xml:space="preserve">            Total 2604_W Camp Property Manager</t>
  </si>
  <si>
    <t xml:space="preserve">         Total 2113_W Year Round Staff Salaries</t>
  </si>
  <si>
    <t xml:space="preserve">            Total 2126_W Other/Outside Contractors</t>
  </si>
  <si>
    <t xml:space="preserve">         Total 2117_W Camp Payroll Other</t>
  </si>
  <si>
    <t xml:space="preserve">      Total 2000.00 Camp Payrolls</t>
  </si>
  <si>
    <t xml:space="preserve">         2778_W Uncatorgorized Camp Expenses</t>
  </si>
  <si>
    <t xml:space="preserve">      7101_D Church</t>
  </si>
  <si>
    <t xml:space="preserve">         7126 Hammondsport Mission Reserve</t>
  </si>
  <si>
    <t xml:space="preserve">      Total 7101_D Church</t>
  </si>
  <si>
    <t xml:space="preserve">        2336_W Nurse - Night</t>
  </si>
  <si>
    <t xml:space="preserve">        2795_W Kitchen Manager</t>
  </si>
  <si>
    <t>Income YTD - New Covenent - Camp</t>
  </si>
  <si>
    <t xml:space="preserve">           6857_O  Disaster Kits</t>
  </si>
  <si>
    <t xml:space="preserve">            6857_O Disaster Kits</t>
  </si>
  <si>
    <t xml:space="preserve">               2855.10 Program Director   7676</t>
  </si>
  <si>
    <t xml:space="preserve">            3440.21 TR - Operations/Missions</t>
  </si>
  <si>
    <t xml:space="preserve">            3440.25 TR - Camp</t>
  </si>
  <si>
    <t xml:space="preserve">         Total 3440.15 TR - Purpose Restrictions</t>
  </si>
  <si>
    <t>As of August 31, 2024</t>
  </si>
  <si>
    <t>As of Aug 31, 2024</t>
  </si>
  <si>
    <t>As of Aug 31, 2023 (PY)</t>
  </si>
  <si>
    <t xml:space="preserve">               2850.30 Camp Facility Manager  0287</t>
  </si>
  <si>
    <t xml:space="preserve">               2855.20 Marjorie Ackermann  6826</t>
  </si>
  <si>
    <t>Tuesday, Sep 10, 2024 12:14:12 PM GMT-7 - Accrual Basis</t>
  </si>
  <si>
    <t>August</t>
  </si>
  <si>
    <t>Jan - August  2024</t>
  </si>
  <si>
    <t>Jan - August 2024</t>
  </si>
  <si>
    <t>January - August, 2024</t>
  </si>
  <si>
    <t>Not Specified</t>
  </si>
  <si>
    <t xml:space="preserve">            2234_W Nurse - Day</t>
  </si>
  <si>
    <t xml:space="preserve">         2099_W Uncategorized Expense - Camp</t>
  </si>
  <si>
    <t xml:space="preserve">               6056_M Board of Pension/Medical - Mission</t>
  </si>
  <si>
    <t>Tuesday, Sep 10, 2024 12:54:36 PM GMT-7 - Accrual Basis</t>
  </si>
  <si>
    <t>Listing of Report</t>
  </si>
  <si>
    <t xml:space="preserve">Page </t>
  </si>
  <si>
    <t>Summary Update - compares current year to Prior Yer</t>
  </si>
  <si>
    <t>P&amp;L Budget Mission &amp; Operations</t>
  </si>
  <si>
    <t>Bottom figure ties to Balance Sheet</t>
  </si>
  <si>
    <t>Camp YTD Budget to Actual Report</t>
  </si>
  <si>
    <t>`</t>
  </si>
  <si>
    <t>Class Report</t>
  </si>
  <si>
    <t>P&amp;L split between 4 classes</t>
  </si>
  <si>
    <t>6a &amp; 6b</t>
  </si>
  <si>
    <t>Net assets - details - ties to balance sheet net assets</t>
  </si>
  <si>
    <t>AR 2024</t>
  </si>
  <si>
    <t>details on Accounts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</si>
</sst>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\-yy;@"/>
    <numFmt numFmtId="166" formatCode="#,##0.00\ _€"/>
    <numFmt numFmtId="167" formatCode="&quot;$&quot;* #,##0.00\ _€"/>
    <numFmt numFmtId="168" formatCode="mm/dd/yy;@"/>
  </numFmts>
  <fonts count="5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name val="Arial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44" fontId="14" fillId="0" borderId="0" applyFont="0" applyFill="0" applyBorder="0" applyAlignment="0" applyProtection="0"/>
    <xf numFmtId="0" fontId="23" fillId="0" borderId="0"/>
  </cellStyleXfs>
  <cellXfs count="344">
    <xf numFmtId="0" fontId="0" fillId="0" borderId="0" xfId="0"/>
    <xf numFmtId="17" fontId="8" fillId="0" borderId="0" xfId="3" applyNumberFormat="1" applyFont="1" applyAlignment="1">
      <alignment horizontal="center" vertical="top"/>
    </xf>
    <xf numFmtId="8" fontId="9" fillId="0" borderId="36" xfId="3" applyNumberFormat="1" applyFont="1" applyBorder="1" applyAlignment="1">
      <alignment horizontal="center" wrapText="1"/>
    </xf>
    <xf numFmtId="0" fontId="10" fillId="0" borderId="0" xfId="3" applyFont="1" applyAlignment="1">
      <alignment horizontal="center"/>
    </xf>
    <xf numFmtId="8" fontId="10" fillId="0" borderId="37" xfId="3" applyNumberFormat="1" applyFont="1" applyBorder="1" applyAlignment="1">
      <alignment horizontal="right"/>
    </xf>
    <xf numFmtId="0" fontId="9" fillId="0" borderId="41" xfId="3" applyFont="1" applyBorder="1"/>
    <xf numFmtId="8" fontId="9" fillId="0" borderId="42" xfId="3" applyNumberFormat="1" applyFont="1" applyBorder="1" applyAlignment="1">
      <alignment horizontal="right"/>
    </xf>
    <xf numFmtId="0" fontId="11" fillId="0" borderId="0" xfId="3" applyFont="1" applyAlignment="1">
      <alignment horizontal="left" indent="2"/>
    </xf>
    <xf numFmtId="0" fontId="9" fillId="0" borderId="13" xfId="0" applyFont="1" applyBorder="1" applyAlignment="1">
      <alignment horizontal="left"/>
    </xf>
    <xf numFmtId="8" fontId="9" fillId="0" borderId="37" xfId="0" applyNumberFormat="1" applyFont="1" applyBorder="1" applyAlignment="1">
      <alignment horizontal="right"/>
    </xf>
    <xf numFmtId="0" fontId="9" fillId="0" borderId="13" xfId="3" applyFont="1" applyBorder="1" applyAlignment="1">
      <alignment horizontal="left"/>
    </xf>
    <xf numFmtId="8" fontId="9" fillId="0" borderId="37" xfId="3" applyNumberFormat="1" applyFont="1" applyBorder="1" applyAlignment="1">
      <alignment horizontal="right"/>
    </xf>
    <xf numFmtId="0" fontId="9" fillId="0" borderId="0" xfId="3" applyFont="1" applyAlignment="1">
      <alignment horizontal="left"/>
    </xf>
    <xf numFmtId="8" fontId="9" fillId="0" borderId="0" xfId="3" applyNumberFormat="1" applyFont="1" applyAlignment="1">
      <alignment horizontal="right"/>
    </xf>
    <xf numFmtId="4" fontId="0" fillId="0" borderId="0" xfId="0" applyNumberFormat="1"/>
    <xf numFmtId="7" fontId="0" fillId="0" borderId="16" xfId="4" applyNumberFormat="1" applyFont="1" applyFill="1" applyBorder="1"/>
    <xf numFmtId="7" fontId="14" fillId="0" borderId="16" xfId="4" applyNumberFormat="1" applyFont="1" applyFill="1" applyBorder="1"/>
    <xf numFmtId="4" fontId="20" fillId="0" borderId="0" xfId="2" applyNumberFormat="1" applyFont="1"/>
    <xf numFmtId="7" fontId="15" fillId="0" borderId="16" xfId="4" applyNumberFormat="1" applyFont="1" applyFill="1" applyBorder="1"/>
    <xf numFmtId="166" fontId="20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left" wrapText="1"/>
    </xf>
    <xf numFmtId="166" fontId="20" fillId="0" borderId="0" xfId="0" applyNumberFormat="1" applyFont="1" applyAlignment="1">
      <alignment wrapText="1"/>
    </xf>
    <xf numFmtId="167" fontId="19" fillId="0" borderId="15" xfId="0" applyNumberFormat="1" applyFont="1" applyBorder="1" applyAlignment="1">
      <alignment horizontal="right" wrapText="1"/>
    </xf>
    <xf numFmtId="0" fontId="16" fillId="0" borderId="35" xfId="0" applyFont="1" applyBorder="1" applyAlignment="1">
      <alignment horizontal="center" wrapText="1"/>
    </xf>
    <xf numFmtId="0" fontId="0" fillId="0" borderId="0" xfId="0" applyAlignment="1">
      <alignment wrapText="1"/>
    </xf>
    <xf numFmtId="4" fontId="20" fillId="0" borderId="0" xfId="0" applyNumberFormat="1" applyFont="1" applyAlignment="1">
      <alignment wrapText="1"/>
    </xf>
    <xf numFmtId="4" fontId="0" fillId="0" borderId="35" xfId="0" applyNumberFormat="1" applyBorder="1"/>
    <xf numFmtId="0" fontId="0" fillId="3" borderId="0" xfId="0" applyFill="1"/>
    <xf numFmtId="4" fontId="20" fillId="0" borderId="0" xfId="0" applyNumberFormat="1" applyFont="1" applyAlignment="1">
      <alignment horizontal="right" wrapText="1"/>
    </xf>
    <xf numFmtId="166" fontId="19" fillId="0" borderId="0" xfId="0" applyNumberFormat="1" applyFont="1" applyAlignment="1">
      <alignment horizontal="right" wrapText="1"/>
    </xf>
    <xf numFmtId="4" fontId="21" fillId="0" borderId="0" xfId="2" applyNumberFormat="1" applyFont="1"/>
    <xf numFmtId="4" fontId="24" fillId="0" borderId="0" xfId="2" applyNumberFormat="1" applyFont="1" applyAlignment="1">
      <alignment horizontal="center"/>
    </xf>
    <xf numFmtId="49" fontId="20" fillId="0" borderId="0" xfId="2" applyNumberFormat="1" applyFont="1"/>
    <xf numFmtId="44" fontId="21" fillId="0" borderId="0" xfId="4" applyFont="1" applyFill="1" applyBorder="1"/>
    <xf numFmtId="49" fontId="20" fillId="0" borderId="0" xfId="2" applyNumberFormat="1" applyFont="1" applyAlignment="1">
      <alignment wrapText="1"/>
    </xf>
    <xf numFmtId="49" fontId="20" fillId="0" borderId="1" xfId="2" applyNumberFormat="1" applyFont="1" applyBorder="1"/>
    <xf numFmtId="4" fontId="21" fillId="0" borderId="1" xfId="2" applyNumberFormat="1" applyFont="1" applyBorder="1"/>
    <xf numFmtId="0" fontId="21" fillId="0" borderId="16" xfId="2" applyFont="1" applyBorder="1" applyAlignment="1">
      <alignment horizontal="center" vertical="top" wrapText="1"/>
    </xf>
    <xf numFmtId="49" fontId="21" fillId="0" borderId="0" xfId="2" applyNumberFormat="1" applyFont="1" applyAlignment="1">
      <alignment horizontal="left"/>
    </xf>
    <xf numFmtId="0" fontId="21" fillId="0" borderId="0" xfId="2" applyFont="1"/>
    <xf numFmtId="4" fontId="21" fillId="0" borderId="35" xfId="2" applyNumberFormat="1" applyFont="1" applyBorder="1"/>
    <xf numFmtId="4" fontId="20" fillId="0" borderId="1" xfId="2" applyNumberFormat="1" applyFont="1" applyBorder="1"/>
    <xf numFmtId="49" fontId="20" fillId="0" borderId="0" xfId="2" applyNumberFormat="1" applyFont="1" applyAlignment="1">
      <alignment horizontal="center"/>
    </xf>
    <xf numFmtId="0" fontId="22" fillId="0" borderId="0" xfId="0" applyFont="1"/>
    <xf numFmtId="4" fontId="20" fillId="0" borderId="24" xfId="2" applyNumberFormat="1" applyFont="1" applyBorder="1"/>
    <xf numFmtId="0" fontId="24" fillId="0" borderId="0" xfId="2" applyFont="1" applyAlignment="1">
      <alignment horizontal="center"/>
    </xf>
    <xf numFmtId="49" fontId="25" fillId="0" borderId="0" xfId="2" applyNumberFormat="1" applyFont="1" applyAlignment="1">
      <alignment horizontal="center"/>
    </xf>
    <xf numFmtId="4" fontId="25" fillId="0" borderId="0" xfId="2" applyNumberFormat="1" applyFont="1" applyAlignment="1">
      <alignment horizontal="center"/>
    </xf>
    <xf numFmtId="4" fontId="20" fillId="0" borderId="2" xfId="2" applyNumberFormat="1" applyFont="1" applyBorder="1"/>
    <xf numFmtId="167" fontId="19" fillId="0" borderId="0" xfId="0" applyNumberFormat="1" applyFont="1" applyAlignment="1">
      <alignment horizontal="right" wrapText="1"/>
    </xf>
    <xf numFmtId="0" fontId="20" fillId="0" borderId="0" xfId="2" applyFont="1"/>
    <xf numFmtId="0" fontId="19" fillId="0" borderId="0" xfId="2" applyFont="1" applyAlignment="1">
      <alignment horizontal="center"/>
    </xf>
    <xf numFmtId="0" fontId="21" fillId="0" borderId="34" xfId="2" applyFont="1" applyBorder="1" applyAlignment="1">
      <alignment horizontal="center"/>
    </xf>
    <xf numFmtId="0" fontId="21" fillId="0" borderId="0" xfId="2" applyFont="1" applyAlignment="1">
      <alignment horizontal="center"/>
    </xf>
    <xf numFmtId="49" fontId="20" fillId="0" borderId="0" xfId="2" applyNumberFormat="1" applyFont="1" applyAlignment="1">
      <alignment vertical="top"/>
    </xf>
    <xf numFmtId="0" fontId="19" fillId="0" borderId="0" xfId="2" applyFont="1" applyAlignment="1">
      <alignment horizontal="center" vertical="top"/>
    </xf>
    <xf numFmtId="49" fontId="20" fillId="0" borderId="0" xfId="2" applyNumberFormat="1" applyFont="1" applyAlignment="1">
      <alignment horizontal="center" vertical="top"/>
    </xf>
    <xf numFmtId="0" fontId="21" fillId="0" borderId="26" xfId="2" applyFont="1" applyBorder="1" applyAlignment="1">
      <alignment horizontal="center" vertical="top" wrapText="1"/>
    </xf>
    <xf numFmtId="0" fontId="21" fillId="0" borderId="34" xfId="2" applyFont="1" applyBorder="1" applyAlignment="1">
      <alignment horizontal="center" vertical="top" wrapText="1"/>
    </xf>
    <xf numFmtId="0" fontId="21" fillId="0" borderId="0" xfId="2" applyFont="1" applyAlignment="1">
      <alignment horizontal="center" vertical="top"/>
    </xf>
    <xf numFmtId="165" fontId="21" fillId="0" borderId="16" xfId="2" applyNumberFormat="1" applyFont="1" applyBorder="1" applyAlignment="1">
      <alignment horizontal="center" vertical="top"/>
    </xf>
    <xf numFmtId="44" fontId="21" fillId="0" borderId="0" xfId="2" applyNumberFormat="1" applyFont="1"/>
    <xf numFmtId="4" fontId="26" fillId="0" borderId="0" xfId="2" applyNumberFormat="1" applyFont="1"/>
    <xf numFmtId="4" fontId="19" fillId="0" borderId="2" xfId="2" applyNumberFormat="1" applyFont="1" applyBorder="1"/>
    <xf numFmtId="166" fontId="27" fillId="0" borderId="0" xfId="0" applyNumberFormat="1" applyFont="1" applyAlignment="1">
      <alignment horizontal="right" wrapText="1"/>
    </xf>
    <xf numFmtId="165" fontId="21" fillId="0" borderId="0" xfId="2" applyNumberFormat="1" applyFont="1"/>
    <xf numFmtId="7" fontId="14" fillId="0" borderId="29" xfId="4" applyNumberFormat="1" applyFont="1" applyFill="1" applyBorder="1"/>
    <xf numFmtId="7" fontId="14" fillId="0" borderId="0" xfId="4" applyNumberFormat="1" applyFont="1" applyFill="1" applyBorder="1"/>
    <xf numFmtId="166" fontId="0" fillId="0" borderId="0" xfId="0" applyNumberFormat="1"/>
    <xf numFmtId="0" fontId="21" fillId="0" borderId="0" xfId="2" applyFont="1" applyAlignment="1">
      <alignment wrapText="1"/>
    </xf>
    <xf numFmtId="4" fontId="13" fillId="0" borderId="0" xfId="0" applyNumberFormat="1" applyFont="1"/>
    <xf numFmtId="0" fontId="21" fillId="0" borderId="35" xfId="2" applyFont="1" applyBorder="1"/>
    <xf numFmtId="166" fontId="19" fillId="0" borderId="0" xfId="0" applyNumberFormat="1" applyFont="1" applyAlignment="1">
      <alignment wrapText="1"/>
    </xf>
    <xf numFmtId="0" fontId="28" fillId="0" borderId="0" xfId="0" applyFont="1" applyAlignment="1">
      <alignment horizontal="left" wrapText="1"/>
    </xf>
    <xf numFmtId="0" fontId="29" fillId="0" borderId="16" xfId="0" applyFont="1" applyBorder="1" applyAlignment="1">
      <alignment wrapText="1"/>
    </xf>
    <xf numFmtId="44" fontId="21" fillId="0" borderId="1" xfId="4" applyFont="1" applyFill="1" applyBorder="1"/>
    <xf numFmtId="166" fontId="32" fillId="0" borderId="0" xfId="0" applyNumberFormat="1" applyFont="1" applyAlignment="1">
      <alignment horizontal="right" wrapText="1"/>
    </xf>
    <xf numFmtId="4" fontId="22" fillId="0" borderId="0" xfId="0" applyNumberFormat="1" applyFont="1"/>
    <xf numFmtId="4" fontId="21" fillId="0" borderId="13" xfId="2" applyNumberFormat="1" applyFont="1" applyBorder="1"/>
    <xf numFmtId="4" fontId="21" fillId="0" borderId="19" xfId="2" applyNumberFormat="1" applyFont="1" applyBorder="1"/>
    <xf numFmtId="0" fontId="21" fillId="0" borderId="13" xfId="2" applyFont="1" applyBorder="1"/>
    <xf numFmtId="0" fontId="21" fillId="0" borderId="37" xfId="2" applyFont="1" applyBorder="1"/>
    <xf numFmtId="0" fontId="33" fillId="0" borderId="0" xfId="0" applyFont="1" applyAlignment="1">
      <alignment horizontal="left" wrapText="1"/>
    </xf>
    <xf numFmtId="166" fontId="34" fillId="0" borderId="0" xfId="0" applyNumberFormat="1" applyFont="1" applyAlignment="1">
      <alignment horizontal="right" wrapText="1"/>
    </xf>
    <xf numFmtId="49" fontId="20" fillId="0" borderId="16" xfId="2" applyNumberFormat="1" applyFont="1" applyBorder="1" applyAlignment="1">
      <alignment horizontal="center" vertical="top" wrapText="1"/>
    </xf>
    <xf numFmtId="167" fontId="19" fillId="2" borderId="15" xfId="0" applyNumberFormat="1" applyFont="1" applyFill="1" applyBorder="1" applyAlignment="1">
      <alignment horizontal="right" wrapText="1"/>
    </xf>
    <xf numFmtId="166" fontId="35" fillId="0" borderId="0" xfId="0" applyNumberFormat="1" applyFont="1" applyAlignment="1">
      <alignment horizontal="right" wrapText="1"/>
    </xf>
    <xf numFmtId="0" fontId="9" fillId="0" borderId="0" xfId="3" applyFont="1"/>
    <xf numFmtId="0" fontId="36" fillId="0" borderId="0" xfId="0" applyFont="1"/>
    <xf numFmtId="0" fontId="11" fillId="0" borderId="0" xfId="3" applyFont="1"/>
    <xf numFmtId="8" fontId="11" fillId="0" borderId="37" xfId="3" applyNumberFormat="1" applyFont="1" applyBorder="1" applyAlignment="1">
      <alignment horizontal="right"/>
    </xf>
    <xf numFmtId="167" fontId="37" fillId="0" borderId="15" xfId="0" applyNumberFormat="1" applyFont="1" applyBorder="1" applyAlignment="1">
      <alignment horizontal="right" wrapText="1"/>
    </xf>
    <xf numFmtId="0" fontId="9" fillId="0" borderId="0" xfId="3" applyFont="1" applyAlignment="1">
      <alignment horizontal="left" indent="2"/>
    </xf>
    <xf numFmtId="0" fontId="11" fillId="0" borderId="0" xfId="3" applyFont="1" applyAlignment="1">
      <alignment horizontal="left" indent="3"/>
    </xf>
    <xf numFmtId="8" fontId="11" fillId="0" borderId="40" xfId="3" applyNumberFormat="1" applyFont="1" applyBorder="1" applyAlignment="1">
      <alignment horizontal="right"/>
    </xf>
    <xf numFmtId="8" fontId="11" fillId="0" borderId="47" xfId="3" applyNumberFormat="1" applyFont="1" applyBorder="1" applyAlignment="1">
      <alignment horizontal="right"/>
    </xf>
    <xf numFmtId="0" fontId="9" fillId="0" borderId="0" xfId="3" applyFont="1" applyAlignment="1">
      <alignment horizontal="left" indent="4"/>
    </xf>
    <xf numFmtId="8" fontId="9" fillId="0" borderId="39" xfId="3" applyNumberFormat="1" applyFont="1" applyBorder="1" applyAlignment="1">
      <alignment horizontal="right"/>
    </xf>
    <xf numFmtId="167" fontId="11" fillId="0" borderId="37" xfId="3" applyNumberFormat="1" applyFont="1" applyBorder="1" applyAlignment="1">
      <alignment horizontal="right"/>
    </xf>
    <xf numFmtId="0" fontId="11" fillId="0" borderId="0" xfId="3" applyFont="1" applyAlignment="1">
      <alignment horizontal="left" wrapText="1" indent="3"/>
    </xf>
    <xf numFmtId="0" fontId="38" fillId="0" borderId="0" xfId="0" applyFont="1" applyAlignment="1">
      <alignment horizontal="center"/>
    </xf>
    <xf numFmtId="8" fontId="39" fillId="0" borderId="37" xfId="3" applyNumberFormat="1" applyFont="1" applyBorder="1" applyAlignment="1">
      <alignment horizontal="right"/>
    </xf>
    <xf numFmtId="8" fontId="11" fillId="0" borderId="38" xfId="3" applyNumberFormat="1" applyFont="1" applyBorder="1" applyAlignment="1">
      <alignment horizontal="right"/>
    </xf>
    <xf numFmtId="8" fontId="11" fillId="0" borderId="0" xfId="3" applyNumberFormat="1" applyFont="1" applyAlignment="1">
      <alignment horizontal="right"/>
    </xf>
    <xf numFmtId="8" fontId="11" fillId="0" borderId="13" xfId="3" applyNumberFormat="1" applyFont="1" applyBorder="1" applyAlignment="1">
      <alignment horizontal="right"/>
    </xf>
    <xf numFmtId="0" fontId="9" fillId="0" borderId="13" xfId="3" applyFont="1" applyBorder="1" applyAlignment="1">
      <alignment horizontal="left" indent="4"/>
    </xf>
    <xf numFmtId="0" fontId="9" fillId="0" borderId="0" xfId="3" applyFont="1" applyAlignment="1">
      <alignment horizontal="center"/>
    </xf>
    <xf numFmtId="164" fontId="36" fillId="0" borderId="0" xfId="0" applyNumberFormat="1" applyFont="1"/>
    <xf numFmtId="164" fontId="11" fillId="0" borderId="37" xfId="3" applyNumberFormat="1" applyFont="1" applyBorder="1" applyAlignment="1">
      <alignment horizontal="right"/>
    </xf>
    <xf numFmtId="0" fontId="39" fillId="0" borderId="0" xfId="3" applyFont="1" applyAlignment="1">
      <alignment horizontal="left" indent="2"/>
    </xf>
    <xf numFmtId="164" fontId="39" fillId="0" borderId="37" xfId="3" applyNumberFormat="1" applyFont="1" applyBorder="1" applyAlignment="1">
      <alignment horizontal="right"/>
    </xf>
    <xf numFmtId="49" fontId="40" fillId="0" borderId="0" xfId="3" applyNumberFormat="1" applyFont="1" applyAlignment="1">
      <alignment horizontal="left" indent="2"/>
    </xf>
    <xf numFmtId="8" fontId="9" fillId="0" borderId="0" xfId="3" applyNumberFormat="1" applyFont="1"/>
    <xf numFmtId="0" fontId="9" fillId="0" borderId="0" xfId="3" applyFont="1" applyAlignment="1">
      <alignment horizontal="center" wrapText="1"/>
    </xf>
    <xf numFmtId="8" fontId="9" fillId="2" borderId="0" xfId="3" applyNumberFormat="1" applyFont="1" applyFill="1"/>
    <xf numFmtId="0" fontId="36" fillId="0" borderId="35" xfId="0" applyFont="1" applyBorder="1"/>
    <xf numFmtId="38" fontId="11" fillId="0" borderId="0" xfId="3" applyNumberFormat="1" applyFont="1"/>
    <xf numFmtId="0" fontId="11" fillId="0" borderId="15" xfId="3" applyFont="1" applyBorder="1"/>
    <xf numFmtId="8" fontId="11" fillId="0" borderId="15" xfId="3" applyNumberFormat="1" applyFont="1" applyBorder="1"/>
    <xf numFmtId="8" fontId="11" fillId="0" borderId="0" xfId="1" applyNumberFormat="1" applyFont="1" applyBorder="1"/>
    <xf numFmtId="0" fontId="11" fillId="0" borderId="35" xfId="3" applyFont="1" applyBorder="1"/>
    <xf numFmtId="8" fontId="11" fillId="0" borderId="35" xfId="1" applyNumberFormat="1" applyFont="1" applyBorder="1"/>
    <xf numFmtId="8" fontId="11" fillId="0" borderId="0" xfId="3" applyNumberFormat="1" applyFont="1"/>
    <xf numFmtId="0" fontId="16" fillId="0" borderId="0" xfId="0" applyFont="1" applyAlignment="1">
      <alignment horizontal="center" wrapText="1"/>
    </xf>
    <xf numFmtId="0" fontId="9" fillId="0" borderId="36" xfId="3" applyFont="1" applyBorder="1" applyAlignment="1">
      <alignment horizontal="center" wrapText="1"/>
    </xf>
    <xf numFmtId="166" fontId="20" fillId="0" borderId="1" xfId="0" applyNumberFormat="1" applyFont="1" applyBorder="1" applyAlignment="1">
      <alignment horizontal="right" wrapText="1"/>
    </xf>
    <xf numFmtId="0" fontId="19" fillId="4" borderId="0" xfId="0" applyFont="1" applyFill="1" applyAlignment="1">
      <alignment horizontal="left" wrapText="1"/>
    </xf>
    <xf numFmtId="167" fontId="19" fillId="4" borderId="15" xfId="0" applyNumberFormat="1" applyFont="1" applyFill="1" applyBorder="1" applyAlignment="1">
      <alignment horizontal="right" wrapText="1"/>
    </xf>
    <xf numFmtId="0" fontId="0" fillId="4" borderId="0" xfId="0" applyFill="1"/>
    <xf numFmtId="166" fontId="20" fillId="4" borderId="0" xfId="0" applyNumberFormat="1" applyFont="1" applyFill="1" applyAlignment="1">
      <alignment horizontal="right" wrapText="1"/>
    </xf>
    <xf numFmtId="4" fontId="15" fillId="0" borderId="0" xfId="0" applyNumberFormat="1" applyFont="1"/>
    <xf numFmtId="166" fontId="44" fillId="0" borderId="0" xfId="0" applyNumberFormat="1" applyFont="1" applyAlignment="1">
      <alignment horizontal="right" wrapText="1"/>
    </xf>
    <xf numFmtId="4" fontId="45" fillId="0" borderId="0" xfId="0" applyNumberFormat="1" applyFont="1"/>
    <xf numFmtId="0" fontId="0" fillId="0" borderId="0" xfId="0" applyAlignment="1">
      <alignment horizontal="center"/>
    </xf>
    <xf numFmtId="4" fontId="37" fillId="0" borderId="15" xfId="0" applyNumberFormat="1" applyFont="1" applyBorder="1" applyAlignment="1">
      <alignment horizontal="right" wrapText="1"/>
    </xf>
    <xf numFmtId="4" fontId="20" fillId="2" borderId="0" xfId="2" applyNumberFormat="1" applyFont="1" applyFill="1"/>
    <xf numFmtId="4" fontId="46" fillId="3" borderId="46" xfId="0" applyNumberFormat="1" applyFont="1" applyFill="1" applyBorder="1"/>
    <xf numFmtId="167" fontId="47" fillId="0" borderId="15" xfId="0" applyNumberFormat="1" applyFont="1" applyBorder="1" applyAlignment="1">
      <alignment horizontal="right" wrapText="1"/>
    </xf>
    <xf numFmtId="167" fontId="9" fillId="0" borderId="39" xfId="3" applyNumberFormat="1" applyFont="1" applyBorder="1" applyAlignment="1">
      <alignment horizontal="right"/>
    </xf>
    <xf numFmtId="0" fontId="21" fillId="0" borderId="19" xfId="2" applyFont="1" applyBorder="1"/>
    <xf numFmtId="166" fontId="48" fillId="0" borderId="0" xfId="0" applyNumberFormat="1" applyFont="1" applyAlignment="1">
      <alignment horizontal="right" wrapText="1"/>
    </xf>
    <xf numFmtId="4" fontId="36" fillId="0" borderId="0" xfId="0" applyNumberFormat="1" applyFont="1"/>
    <xf numFmtId="8" fontId="36" fillId="0" borderId="0" xfId="0" applyNumberFormat="1" applyFont="1"/>
    <xf numFmtId="44" fontId="0" fillId="0" borderId="0" xfId="4" applyFont="1" applyFill="1" applyAlignment="1"/>
    <xf numFmtId="44" fontId="0" fillId="0" borderId="0" xfId="4" applyFont="1" applyFill="1" applyAlignment="1">
      <alignment horizontal="center"/>
    </xf>
    <xf numFmtId="44" fontId="0" fillId="0" borderId="0" xfId="4" applyFont="1" applyFill="1"/>
    <xf numFmtId="49" fontId="20" fillId="0" borderId="35" xfId="2" applyNumberFormat="1" applyFont="1" applyBorder="1"/>
    <xf numFmtId="4" fontId="20" fillId="0" borderId="35" xfId="2" applyNumberFormat="1" applyFont="1" applyBorder="1"/>
    <xf numFmtId="4" fontId="26" fillId="0" borderId="35" xfId="2" applyNumberFormat="1" applyFont="1" applyBorder="1"/>
    <xf numFmtId="44" fontId="21" fillId="0" borderId="35" xfId="4" applyFont="1" applyFill="1" applyBorder="1"/>
    <xf numFmtId="49" fontId="20" fillId="0" borderId="24" xfId="2" applyNumberFormat="1" applyFont="1" applyBorder="1" applyAlignment="1">
      <alignment horizontal="center"/>
    </xf>
    <xf numFmtId="4" fontId="46" fillId="0" borderId="0" xfId="0" applyNumberFormat="1" applyFont="1"/>
    <xf numFmtId="166" fontId="49" fillId="0" borderId="1" xfId="0" applyNumberFormat="1" applyFont="1" applyBorder="1" applyAlignment="1">
      <alignment wrapText="1"/>
    </xf>
    <xf numFmtId="167" fontId="49" fillId="4" borderId="15" xfId="0" applyNumberFormat="1" applyFont="1" applyFill="1" applyBorder="1" applyAlignment="1">
      <alignment horizontal="right" wrapText="1"/>
    </xf>
    <xf numFmtId="44" fontId="15" fillId="0" borderId="0" xfId="4" applyFont="1" applyFill="1" applyAlignment="1"/>
    <xf numFmtId="44" fontId="15" fillId="0" borderId="0" xfId="4" applyFont="1" applyFill="1" applyAlignment="1">
      <alignment horizontal="center"/>
    </xf>
    <xf numFmtId="44" fontId="15" fillId="0" borderId="0" xfId="4" applyFont="1" applyFill="1"/>
    <xf numFmtId="44" fontId="21" fillId="0" borderId="10" xfId="4" applyFont="1" applyFill="1" applyBorder="1"/>
    <xf numFmtId="4" fontId="21" fillId="0" borderId="6" xfId="2" applyNumberFormat="1" applyFont="1" applyBorder="1"/>
    <xf numFmtId="44" fontId="21" fillId="0" borderId="37" xfId="4" applyFont="1" applyFill="1" applyBorder="1"/>
    <xf numFmtId="4" fontId="21" fillId="0" borderId="36" xfId="2" applyNumberFormat="1" applyFont="1" applyBorder="1"/>
    <xf numFmtId="4" fontId="21" fillId="0" borderId="37" xfId="2" applyNumberFormat="1" applyFont="1" applyBorder="1"/>
    <xf numFmtId="0" fontId="21" fillId="0" borderId="36" xfId="2" applyFont="1" applyBorder="1"/>
    <xf numFmtId="166" fontId="50" fillId="0" borderId="0" xfId="0" applyNumberFormat="1" applyFont="1" applyAlignment="1">
      <alignment horizontal="right" wrapText="1"/>
    </xf>
    <xf numFmtId="8" fontId="9" fillId="2" borderId="42" xfId="3" applyNumberFormat="1" applyFont="1" applyFill="1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center" wrapText="1"/>
    </xf>
    <xf numFmtId="166" fontId="44" fillId="2" borderId="0" xfId="0" applyNumberFormat="1" applyFont="1" applyFill="1" applyAlignment="1">
      <alignment horizontal="right" wrapText="1"/>
    </xf>
    <xf numFmtId="4" fontId="51" fillId="0" borderId="0" xfId="0" applyNumberFormat="1" applyFont="1"/>
    <xf numFmtId="0" fontId="36" fillId="4" borderId="0" xfId="0" applyFont="1" applyFill="1"/>
    <xf numFmtId="0" fontId="9" fillId="4" borderId="36" xfId="3" applyFont="1" applyFill="1" applyBorder="1" applyAlignment="1">
      <alignment horizontal="center" wrapText="1"/>
    </xf>
    <xf numFmtId="8" fontId="9" fillId="4" borderId="36" xfId="3" applyNumberFormat="1" applyFont="1" applyFill="1" applyBorder="1" applyAlignment="1">
      <alignment horizontal="center" wrapText="1"/>
    </xf>
    <xf numFmtId="8" fontId="10" fillId="4" borderId="37" xfId="3" applyNumberFormat="1" applyFont="1" applyFill="1" applyBorder="1" applyAlignment="1">
      <alignment horizontal="right"/>
    </xf>
    <xf numFmtId="8" fontId="11" fillId="4" borderId="37" xfId="3" applyNumberFormat="1" applyFont="1" applyFill="1" applyBorder="1" applyAlignment="1">
      <alignment horizontal="right"/>
    </xf>
    <xf numFmtId="8" fontId="9" fillId="4" borderId="37" xfId="3" applyNumberFormat="1" applyFont="1" applyFill="1" applyBorder="1" applyAlignment="1">
      <alignment horizontal="right"/>
    </xf>
    <xf numFmtId="8" fontId="7" fillId="4" borderId="37" xfId="3" applyNumberFormat="1" applyFill="1" applyBorder="1" applyAlignment="1">
      <alignment horizontal="right"/>
    </xf>
    <xf numFmtId="8" fontId="0" fillId="4" borderId="0" xfId="0" applyNumberFormat="1" applyFill="1"/>
    <xf numFmtId="8" fontId="11" fillId="4" borderId="40" xfId="3" applyNumberFormat="1" applyFont="1" applyFill="1" applyBorder="1" applyAlignment="1">
      <alignment horizontal="right"/>
    </xf>
    <xf numFmtId="8" fontId="9" fillId="4" borderId="39" xfId="3" applyNumberFormat="1" applyFont="1" applyFill="1" applyBorder="1" applyAlignment="1">
      <alignment horizontal="right"/>
    </xf>
    <xf numFmtId="166" fontId="42" fillId="4" borderId="0" xfId="0" applyNumberFormat="1" applyFont="1" applyFill="1" applyAlignment="1">
      <alignment horizontal="right" wrapText="1"/>
    </xf>
    <xf numFmtId="8" fontId="9" fillId="4" borderId="42" xfId="3" applyNumberFormat="1" applyFont="1" applyFill="1" applyBorder="1" applyAlignment="1">
      <alignment horizontal="right"/>
    </xf>
    <xf numFmtId="8" fontId="39" fillId="4" borderId="37" xfId="3" applyNumberFormat="1" applyFont="1" applyFill="1" applyBorder="1" applyAlignment="1">
      <alignment horizontal="right"/>
    </xf>
    <xf numFmtId="8" fontId="7" fillId="4" borderId="38" xfId="3" applyNumberFormat="1" applyFill="1" applyBorder="1" applyAlignment="1">
      <alignment horizontal="right"/>
    </xf>
    <xf numFmtId="8" fontId="11" fillId="4" borderId="0" xfId="3" applyNumberFormat="1" applyFont="1" applyFill="1" applyAlignment="1">
      <alignment horizontal="right"/>
    </xf>
    <xf numFmtId="8" fontId="11" fillId="4" borderId="38" xfId="3" applyNumberFormat="1" applyFont="1" applyFill="1" applyBorder="1" applyAlignment="1">
      <alignment horizontal="right"/>
    </xf>
    <xf numFmtId="164" fontId="36" fillId="4" borderId="0" xfId="0" applyNumberFormat="1" applyFont="1" applyFill="1"/>
    <xf numFmtId="164" fontId="11" fillId="4" borderId="37" xfId="3" applyNumberFormat="1" applyFont="1" applyFill="1" applyBorder="1" applyAlignment="1">
      <alignment horizontal="right"/>
    </xf>
    <xf numFmtId="8" fontId="43" fillId="4" borderId="37" xfId="3" applyNumberFormat="1" applyFont="1" applyFill="1" applyBorder="1" applyAlignment="1">
      <alignment horizontal="right"/>
    </xf>
    <xf numFmtId="164" fontId="43" fillId="4" borderId="37" xfId="3" applyNumberFormat="1" applyFont="1" applyFill="1" applyBorder="1" applyAlignment="1">
      <alignment horizontal="right"/>
    </xf>
    <xf numFmtId="8" fontId="9" fillId="4" borderId="37" xfId="0" applyNumberFormat="1" applyFont="1" applyFill="1" applyBorder="1" applyAlignment="1">
      <alignment horizontal="right"/>
    </xf>
    <xf numFmtId="8" fontId="9" fillId="4" borderId="0" xfId="3" applyNumberFormat="1" applyFont="1" applyFill="1" applyAlignment="1">
      <alignment horizontal="right"/>
    </xf>
    <xf numFmtId="8" fontId="9" fillId="4" borderId="0" xfId="3" applyNumberFormat="1" applyFont="1" applyFill="1"/>
    <xf numFmtId="38" fontId="11" fillId="4" borderId="0" xfId="3" applyNumberFormat="1" applyFont="1" applyFill="1"/>
    <xf numFmtId="8" fontId="11" fillId="4" borderId="15" xfId="3" applyNumberFormat="1" applyFont="1" applyFill="1" applyBorder="1"/>
    <xf numFmtId="8" fontId="11" fillId="4" borderId="0" xfId="1" applyNumberFormat="1" applyFont="1" applyFill="1" applyBorder="1"/>
    <xf numFmtId="8" fontId="11" fillId="4" borderId="35" xfId="1" applyNumberFormat="1" applyFont="1" applyFill="1" applyBorder="1"/>
    <xf numFmtId="8" fontId="11" fillId="4" borderId="0" xfId="3" applyNumberFormat="1" applyFont="1" applyFill="1"/>
    <xf numFmtId="0" fontId="1" fillId="0" borderId="0" xfId="0" applyFont="1"/>
    <xf numFmtId="0" fontId="3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0" fillId="0" borderId="1" xfId="0" applyBorder="1" applyAlignment="1">
      <alignment horizontal="left" indent="1"/>
    </xf>
    <xf numFmtId="0" fontId="4" fillId="0" borderId="0" xfId="0" applyFont="1"/>
    <xf numFmtId="0" fontId="4" fillId="0" borderId="1" xfId="0" applyFon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15" fillId="0" borderId="45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0" fontId="6" fillId="0" borderId="16" xfId="0" applyFont="1" applyBorder="1"/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5" xfId="0" applyBorder="1" applyAlignment="1">
      <alignment horizontal="center"/>
    </xf>
    <xf numFmtId="14" fontId="15" fillId="0" borderId="0" xfId="0" applyNumberFormat="1" applyFont="1" applyAlignment="1">
      <alignment horizontal="center"/>
    </xf>
    <xf numFmtId="0" fontId="15" fillId="0" borderId="16" xfId="0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5" fillId="0" borderId="17" xfId="0" applyFont="1" applyBorder="1"/>
    <xf numFmtId="0" fontId="5" fillId="0" borderId="18" xfId="0" applyFont="1" applyBorder="1" applyAlignment="1">
      <alignment horizontal="left" indent="1"/>
    </xf>
    <xf numFmtId="165" fontId="5" fillId="0" borderId="17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15" fillId="0" borderId="43" xfId="0" applyNumberFormat="1" applyFont="1" applyBorder="1" applyAlignment="1">
      <alignment horizontal="center"/>
    </xf>
    <xf numFmtId="4" fontId="15" fillId="0" borderId="20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2" fontId="15" fillId="0" borderId="0" xfId="0" applyNumberFormat="1" applyFont="1" applyAlignment="1">
      <alignment horizontal="center" wrapText="1"/>
    </xf>
    <xf numFmtId="14" fontId="15" fillId="0" borderId="0" xfId="0" applyNumberFormat="1" applyFont="1"/>
    <xf numFmtId="0" fontId="0" fillId="0" borderId="21" xfId="0" applyBorder="1"/>
    <xf numFmtId="0" fontId="0" fillId="0" borderId="22" xfId="0" applyBorder="1" applyAlignment="1">
      <alignment horizontal="left" indent="1"/>
    </xf>
    <xf numFmtId="0" fontId="0" fillId="0" borderId="16" xfId="0" applyBorder="1"/>
    <xf numFmtId="164" fontId="0" fillId="0" borderId="21" xfId="0" applyNumberFormat="1" applyBorder="1"/>
    <xf numFmtId="164" fontId="0" fillId="0" borderId="23" xfId="0" applyNumberFormat="1" applyBorder="1"/>
    <xf numFmtId="164" fontId="0" fillId="0" borderId="22" xfId="0" applyNumberFormat="1" applyBorder="1"/>
    <xf numFmtId="164" fontId="0" fillId="0" borderId="35" xfId="0" applyNumberFormat="1" applyBorder="1"/>
    <xf numFmtId="4" fontId="0" fillId="0" borderId="16" xfId="0" applyNumberFormat="1" applyBorder="1" applyAlignment="1">
      <alignment horizontal="right"/>
    </xf>
    <xf numFmtId="4" fontId="0" fillId="0" borderId="49" xfId="0" applyNumberFormat="1" applyBorder="1" applyAlignment="1">
      <alignment horizontal="right"/>
    </xf>
    <xf numFmtId="4" fontId="0" fillId="0" borderId="23" xfId="0" applyNumberFormat="1" applyBorder="1"/>
    <xf numFmtId="164" fontId="0" fillId="0" borderId="0" xfId="0" applyNumberFormat="1"/>
    <xf numFmtId="4" fontId="0" fillId="0" borderId="24" xfId="0" applyNumberFormat="1" applyBorder="1"/>
    <xf numFmtId="4" fontId="15" fillId="0" borderId="16" xfId="0" applyNumberFormat="1" applyFont="1" applyBorder="1"/>
    <xf numFmtId="0" fontId="0" fillId="0" borderId="25" xfId="0" applyBorder="1"/>
    <xf numFmtId="0" fontId="0" fillId="0" borderId="26" xfId="0" applyBorder="1" applyAlignment="1">
      <alignment horizontal="left" indent="1"/>
    </xf>
    <xf numFmtId="164" fontId="0" fillId="0" borderId="25" xfId="0" applyNumberFormat="1" applyBorder="1"/>
    <xf numFmtId="164" fontId="0" fillId="0" borderId="16" xfId="0" applyNumberFormat="1" applyBorder="1"/>
    <xf numFmtId="164" fontId="0" fillId="0" borderId="26" xfId="0" applyNumberFormat="1" applyBorder="1"/>
    <xf numFmtId="164" fontId="0" fillId="0" borderId="44" xfId="0" applyNumberFormat="1" applyBorder="1"/>
    <xf numFmtId="4" fontId="0" fillId="0" borderId="34" xfId="0" applyNumberFormat="1" applyBorder="1" applyAlignment="1">
      <alignment horizontal="right"/>
    </xf>
    <xf numFmtId="4" fontId="0" fillId="0" borderId="16" xfId="0" applyNumberFormat="1" applyBorder="1"/>
    <xf numFmtId="4" fontId="15" fillId="0" borderId="16" xfId="0" applyNumberFormat="1" applyFont="1" applyBorder="1" applyAlignment="1">
      <alignment horizontal="right"/>
    </xf>
    <xf numFmtId="4" fontId="15" fillId="0" borderId="34" xfId="0" applyNumberFormat="1" applyFont="1" applyBorder="1" applyAlignment="1">
      <alignment horizontal="right"/>
    </xf>
    <xf numFmtId="0" fontId="15" fillId="0" borderId="25" xfId="0" applyFont="1" applyBorder="1"/>
    <xf numFmtId="0" fontId="15" fillId="0" borderId="26" xfId="0" applyFont="1" applyBorder="1" applyAlignment="1">
      <alignment horizontal="left" indent="1"/>
    </xf>
    <xf numFmtId="0" fontId="15" fillId="0" borderId="16" xfId="0" applyFont="1" applyBorder="1"/>
    <xf numFmtId="164" fontId="15" fillId="0" borderId="25" xfId="0" applyNumberFormat="1" applyFont="1" applyBorder="1"/>
    <xf numFmtId="164" fontId="15" fillId="0" borderId="16" xfId="0" applyNumberFormat="1" applyFont="1" applyBorder="1"/>
    <xf numFmtId="164" fontId="15" fillId="0" borderId="26" xfId="0" applyNumberFormat="1" applyFont="1" applyBorder="1"/>
    <xf numFmtId="164" fontId="15" fillId="0" borderId="44" xfId="0" applyNumberFormat="1" applyFont="1" applyBorder="1"/>
    <xf numFmtId="164" fontId="15" fillId="0" borderId="0" xfId="0" applyNumberFormat="1" applyFont="1"/>
    <xf numFmtId="166" fontId="41" fillId="0" borderId="0" xfId="0" applyNumberFormat="1" applyFont="1" applyAlignment="1">
      <alignment horizontal="right" wrapText="1"/>
    </xf>
    <xf numFmtId="4" fontId="15" fillId="0" borderId="24" xfId="0" applyNumberFormat="1" applyFont="1" applyBorder="1"/>
    <xf numFmtId="0" fontId="0" fillId="0" borderId="27" xfId="0" applyBorder="1"/>
    <xf numFmtId="0" fontId="0" fillId="0" borderId="28" xfId="0" applyBorder="1" applyAlignment="1">
      <alignment horizontal="left" indent="1"/>
    </xf>
    <xf numFmtId="0" fontId="0" fillId="0" borderId="27" xfId="0" applyBorder="1" applyAlignment="1">
      <alignment horizontal="right" indent="1"/>
    </xf>
    <xf numFmtId="164" fontId="0" fillId="0" borderId="27" xfId="0" applyNumberFormat="1" applyBorder="1"/>
    <xf numFmtId="164" fontId="0" fillId="0" borderId="28" xfId="0" applyNumberFormat="1" applyBorder="1"/>
    <xf numFmtId="164" fontId="0" fillId="0" borderId="15" xfId="0" applyNumberFormat="1" applyBorder="1"/>
    <xf numFmtId="4" fontId="0" fillId="0" borderId="50" xfId="0" applyNumberFormat="1" applyBorder="1" applyAlignment="1">
      <alignment horizontal="right"/>
    </xf>
    <xf numFmtId="4" fontId="0" fillId="0" borderId="29" xfId="0" applyNumberFormat="1" applyBorder="1"/>
    <xf numFmtId="0" fontId="0" fillId="0" borderId="15" xfId="0" applyBorder="1"/>
    <xf numFmtId="0" fontId="0" fillId="0" borderId="12" xfId="0" applyBorder="1" applyAlignment="1">
      <alignment horizontal="left" indent="1"/>
    </xf>
    <xf numFmtId="0" fontId="0" fillId="0" borderId="29" xfId="0" applyBorder="1"/>
    <xf numFmtId="0" fontId="0" fillId="0" borderId="28" xfId="0" applyBorder="1"/>
    <xf numFmtId="4" fontId="15" fillId="0" borderId="23" xfId="0" applyNumberFormat="1" applyFont="1" applyBorder="1"/>
    <xf numFmtId="0" fontId="6" fillId="0" borderId="30" xfId="0" applyFont="1" applyBorder="1"/>
    <xf numFmtId="0" fontId="6" fillId="0" borderId="31" xfId="0" applyFont="1" applyBorder="1" applyAlignment="1">
      <alignment horizontal="left" indent="1"/>
    </xf>
    <xf numFmtId="0" fontId="6" fillId="0" borderId="30" xfId="0" applyFont="1" applyBorder="1" applyAlignment="1">
      <alignment horizontal="right" indent="1"/>
    </xf>
    <xf numFmtId="8" fontId="6" fillId="0" borderId="33" xfId="0" applyNumberFormat="1" applyFont="1" applyBorder="1"/>
    <xf numFmtId="8" fontId="6" fillId="0" borderId="31" xfId="0" applyNumberFormat="1" applyFont="1" applyBorder="1"/>
    <xf numFmtId="8" fontId="6" fillId="0" borderId="2" xfId="0" applyNumberFormat="1" applyFont="1" applyBorder="1"/>
    <xf numFmtId="4" fontId="6" fillId="0" borderId="19" xfId="0" applyNumberFormat="1" applyFont="1" applyBorder="1" applyAlignment="1">
      <alignment horizontal="right"/>
    </xf>
    <xf numFmtId="4" fontId="6" fillId="0" borderId="30" xfId="0" applyNumberFormat="1" applyFont="1" applyBorder="1" applyAlignment="1">
      <alignment horizontal="right"/>
    </xf>
    <xf numFmtId="4" fontId="6" fillId="0" borderId="33" xfId="0" applyNumberFormat="1" applyFont="1" applyBorder="1"/>
    <xf numFmtId="8" fontId="6" fillId="0" borderId="0" xfId="0" applyNumberFormat="1" applyFont="1"/>
    <xf numFmtId="4" fontId="6" fillId="0" borderId="32" xfId="0" applyNumberFormat="1" applyFont="1" applyBorder="1"/>
    <xf numFmtId="4" fontId="0" fillId="0" borderId="8" xfId="0" applyNumberFormat="1" applyBorder="1"/>
    <xf numFmtId="4" fontId="0" fillId="0" borderId="43" xfId="0" applyNumberFormat="1" applyBorder="1"/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22" fillId="0" borderId="0" xfId="0" applyNumberFormat="1" applyFont="1" applyAlignment="1">
      <alignment wrapText="1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/>
    </xf>
    <xf numFmtId="8" fontId="0" fillId="0" borderId="35" xfId="0" applyNumberFormat="1" applyBorder="1"/>
    <xf numFmtId="7" fontId="0" fillId="0" borderId="0" xfId="0" applyNumberFormat="1"/>
    <xf numFmtId="4" fontId="21" fillId="2" borderId="37" xfId="2" applyNumberFormat="1" applyFont="1" applyFill="1" applyBorder="1"/>
    <xf numFmtId="4" fontId="21" fillId="2" borderId="13" xfId="2" applyNumberFormat="1" applyFont="1" applyFill="1" applyBorder="1"/>
    <xf numFmtId="4" fontId="21" fillId="2" borderId="0" xfId="2" applyNumberFormat="1" applyFont="1" applyFill="1"/>
    <xf numFmtId="0" fontId="17" fillId="0" borderId="0" xfId="0" applyFont="1" applyAlignment="1">
      <alignment horizontal="center"/>
    </xf>
    <xf numFmtId="0" fontId="0" fillId="0" borderId="0" xfId="0"/>
    <xf numFmtId="0" fontId="18" fillId="0" borderId="0" xfId="0" applyFont="1" applyAlignment="1">
      <alignment horizontal="center"/>
    </xf>
    <xf numFmtId="0" fontId="16" fillId="0" borderId="35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21" fillId="0" borderId="26" xfId="2" applyFont="1" applyBorder="1" applyAlignment="1">
      <alignment horizontal="center"/>
    </xf>
    <xf numFmtId="0" fontId="21" fillId="0" borderId="44" xfId="2" applyFont="1" applyBorder="1" applyAlignment="1">
      <alignment horizontal="center"/>
    </xf>
    <xf numFmtId="0" fontId="21" fillId="0" borderId="15" xfId="2" applyFont="1" applyBorder="1" applyAlignment="1">
      <alignment horizontal="center"/>
    </xf>
    <xf numFmtId="0" fontId="21" fillId="0" borderId="34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15" fillId="0" borderId="0" xfId="0" applyNumberFormat="1" applyFont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" fillId="0" borderId="0" xfId="0" applyFont="1" applyAlignment="1">
      <alignment horizontal="center"/>
    </xf>
    <xf numFmtId="4" fontId="5" fillId="0" borderId="48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32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6">
    <cellStyle name="Currency" xfId="4" builtinId="4"/>
    <cellStyle name="Currency 2" xfId="1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E543-6117-4C93-917B-5C205E92CBA9}">
  <dimension ref="A1:F157"/>
  <sheetViews>
    <sheetView tabSelected="1" workbookViewId="0">
      <selection activeCell="A2" sqref="A2"/>
    </sheetView>
  </sheetViews>
  <sheetFormatPr baseColWidth="10" defaultColWidth="8.83203125" defaultRowHeight="15" x14ac:dyDescent="0.2"/>
  <sheetData>
    <row r="1" spans="1:6" x14ac:dyDescent="0.2">
      <c r="A1" t="s">
        <v>65</v>
      </c>
    </row>
    <row r="2" spans="1:6" x14ac:dyDescent="0.2">
      <c r="A2" t="s">
        <v>759</v>
      </c>
    </row>
    <row r="4" spans="1:6" x14ac:dyDescent="0.2">
      <c r="A4" s="133" t="s">
        <v>760</v>
      </c>
    </row>
    <row r="6" spans="1:6" x14ac:dyDescent="0.2">
      <c r="A6" s="133">
        <v>1</v>
      </c>
      <c r="B6" t="s">
        <v>458</v>
      </c>
    </row>
    <row r="7" spans="1:6" x14ac:dyDescent="0.2">
      <c r="A7" s="133">
        <v>2</v>
      </c>
      <c r="B7" t="s">
        <v>761</v>
      </c>
    </row>
    <row r="8" spans="1:6" x14ac:dyDescent="0.2">
      <c r="A8" s="133">
        <v>3</v>
      </c>
      <c r="B8" t="s">
        <v>762</v>
      </c>
      <c r="F8" t="s">
        <v>763</v>
      </c>
    </row>
    <row r="9" spans="1:6" x14ac:dyDescent="0.2">
      <c r="A9" s="133">
        <v>4</v>
      </c>
      <c r="B9" t="s">
        <v>764</v>
      </c>
      <c r="E9" t="s">
        <v>765</v>
      </c>
      <c r="F9" t="s">
        <v>763</v>
      </c>
    </row>
    <row r="10" spans="1:6" x14ac:dyDescent="0.2">
      <c r="A10" s="133">
        <v>5</v>
      </c>
      <c r="B10" t="s">
        <v>766</v>
      </c>
      <c r="D10" t="s">
        <v>767</v>
      </c>
    </row>
    <row r="11" spans="1:6" x14ac:dyDescent="0.2">
      <c r="A11" s="133"/>
    </row>
    <row r="12" spans="1:6" x14ac:dyDescent="0.2">
      <c r="A12" s="133"/>
      <c r="E12" t="s">
        <v>4</v>
      </c>
    </row>
    <row r="13" spans="1:6" x14ac:dyDescent="0.2">
      <c r="A13" s="133"/>
      <c r="E13" t="s">
        <v>5</v>
      </c>
    </row>
    <row r="14" spans="1:6" x14ac:dyDescent="0.2">
      <c r="A14" s="133"/>
      <c r="E14" t="s">
        <v>6</v>
      </c>
    </row>
    <row r="15" spans="1:6" x14ac:dyDescent="0.2">
      <c r="A15" s="133"/>
      <c r="E15" t="s">
        <v>583</v>
      </c>
    </row>
    <row r="16" spans="1:6" x14ac:dyDescent="0.2">
      <c r="A16" s="133"/>
    </row>
    <row r="17" spans="1:4" x14ac:dyDescent="0.2">
      <c r="A17" s="133" t="s">
        <v>768</v>
      </c>
      <c r="B17" t="s">
        <v>769</v>
      </c>
    </row>
    <row r="18" spans="1:4" x14ac:dyDescent="0.2">
      <c r="A18" s="133"/>
    </row>
    <row r="19" spans="1:4" x14ac:dyDescent="0.2">
      <c r="A19" s="133"/>
    </row>
    <row r="20" spans="1:4" x14ac:dyDescent="0.2">
      <c r="A20" s="133"/>
    </row>
    <row r="21" spans="1:4" x14ac:dyDescent="0.2">
      <c r="A21" s="133">
        <v>8</v>
      </c>
      <c r="B21" t="s">
        <v>770</v>
      </c>
      <c r="D21" t="s">
        <v>771</v>
      </c>
    </row>
    <row r="22" spans="1:4" x14ac:dyDescent="0.2">
      <c r="A22" s="133"/>
    </row>
    <row r="23" spans="1:4" x14ac:dyDescent="0.2">
      <c r="A23" s="133"/>
    </row>
    <row r="24" spans="1:4" x14ac:dyDescent="0.2">
      <c r="A24" s="133"/>
    </row>
    <row r="25" spans="1:4" x14ac:dyDescent="0.2">
      <c r="A25" s="133"/>
    </row>
    <row r="26" spans="1:4" x14ac:dyDescent="0.2">
      <c r="A26" s="133"/>
    </row>
    <row r="27" spans="1:4" x14ac:dyDescent="0.2">
      <c r="A27" s="133"/>
    </row>
    <row r="28" spans="1:4" x14ac:dyDescent="0.2">
      <c r="A28" s="133"/>
    </row>
    <row r="29" spans="1:4" x14ac:dyDescent="0.2">
      <c r="A29" s="133"/>
    </row>
    <row r="30" spans="1:4" x14ac:dyDescent="0.2">
      <c r="A30" s="133"/>
    </row>
    <row r="31" spans="1:4" x14ac:dyDescent="0.2">
      <c r="A31" s="133"/>
    </row>
    <row r="32" spans="1:4" x14ac:dyDescent="0.2">
      <c r="A32" s="133"/>
    </row>
    <row r="33" spans="1:1" x14ac:dyDescent="0.2">
      <c r="A33" s="133"/>
    </row>
    <row r="34" spans="1:1" x14ac:dyDescent="0.2">
      <c r="A34" s="133"/>
    </row>
    <row r="35" spans="1:1" x14ac:dyDescent="0.2">
      <c r="A35" s="133"/>
    </row>
    <row r="36" spans="1:1" x14ac:dyDescent="0.2">
      <c r="A36" s="133"/>
    </row>
    <row r="37" spans="1:1" x14ac:dyDescent="0.2">
      <c r="A37" s="133"/>
    </row>
    <row r="38" spans="1:1" x14ac:dyDescent="0.2">
      <c r="A38" s="133"/>
    </row>
    <row r="39" spans="1:1" x14ac:dyDescent="0.2">
      <c r="A39" s="133"/>
    </row>
    <row r="40" spans="1:1" x14ac:dyDescent="0.2">
      <c r="A40" s="133"/>
    </row>
    <row r="41" spans="1:1" x14ac:dyDescent="0.2">
      <c r="A41" s="133"/>
    </row>
    <row r="42" spans="1:1" x14ac:dyDescent="0.2">
      <c r="A42" s="133"/>
    </row>
    <row r="43" spans="1:1" x14ac:dyDescent="0.2">
      <c r="A43" s="133"/>
    </row>
    <row r="44" spans="1:1" x14ac:dyDescent="0.2">
      <c r="A44" s="133"/>
    </row>
    <row r="45" spans="1:1" x14ac:dyDescent="0.2">
      <c r="A45" s="133"/>
    </row>
    <row r="46" spans="1:1" x14ac:dyDescent="0.2">
      <c r="A46" s="133"/>
    </row>
    <row r="47" spans="1:1" x14ac:dyDescent="0.2">
      <c r="A47" s="133"/>
    </row>
    <row r="48" spans="1:1" x14ac:dyDescent="0.2">
      <c r="A48" s="133"/>
    </row>
    <row r="49" spans="1:1" x14ac:dyDescent="0.2">
      <c r="A49" s="133"/>
    </row>
    <row r="50" spans="1:1" x14ac:dyDescent="0.2">
      <c r="A50" s="133"/>
    </row>
    <row r="51" spans="1:1" x14ac:dyDescent="0.2">
      <c r="A51" s="133"/>
    </row>
    <row r="52" spans="1:1" x14ac:dyDescent="0.2">
      <c r="A52" s="133"/>
    </row>
    <row r="53" spans="1:1" x14ac:dyDescent="0.2">
      <c r="A53" s="133"/>
    </row>
    <row r="54" spans="1:1" x14ac:dyDescent="0.2">
      <c r="A54" s="133"/>
    </row>
    <row r="55" spans="1:1" x14ac:dyDescent="0.2">
      <c r="A55" s="133"/>
    </row>
    <row r="56" spans="1:1" x14ac:dyDescent="0.2">
      <c r="A56" s="133"/>
    </row>
    <row r="57" spans="1:1" x14ac:dyDescent="0.2">
      <c r="A57" s="133"/>
    </row>
    <row r="58" spans="1:1" x14ac:dyDescent="0.2">
      <c r="A58" s="133"/>
    </row>
    <row r="59" spans="1:1" x14ac:dyDescent="0.2">
      <c r="A59" s="133"/>
    </row>
    <row r="60" spans="1:1" x14ac:dyDescent="0.2">
      <c r="A60" s="133"/>
    </row>
    <row r="61" spans="1:1" x14ac:dyDescent="0.2">
      <c r="A61" s="133"/>
    </row>
    <row r="62" spans="1:1" x14ac:dyDescent="0.2">
      <c r="A62" s="133"/>
    </row>
    <row r="63" spans="1:1" x14ac:dyDescent="0.2">
      <c r="A63" s="133"/>
    </row>
    <row r="64" spans="1:1" x14ac:dyDescent="0.2">
      <c r="A64" s="133"/>
    </row>
    <row r="65" spans="1:1" x14ac:dyDescent="0.2">
      <c r="A65" s="133"/>
    </row>
    <row r="66" spans="1:1" x14ac:dyDescent="0.2">
      <c r="A66" s="133"/>
    </row>
    <row r="67" spans="1:1" x14ac:dyDescent="0.2">
      <c r="A67" s="133"/>
    </row>
    <row r="68" spans="1:1" x14ac:dyDescent="0.2">
      <c r="A68" s="133"/>
    </row>
    <row r="69" spans="1:1" x14ac:dyDescent="0.2">
      <c r="A69" s="133"/>
    </row>
    <row r="70" spans="1:1" x14ac:dyDescent="0.2">
      <c r="A70" s="133"/>
    </row>
    <row r="71" spans="1:1" x14ac:dyDescent="0.2">
      <c r="A71" s="133"/>
    </row>
    <row r="72" spans="1:1" x14ac:dyDescent="0.2">
      <c r="A72" s="133"/>
    </row>
    <row r="73" spans="1:1" x14ac:dyDescent="0.2">
      <c r="A73" s="133"/>
    </row>
    <row r="74" spans="1:1" x14ac:dyDescent="0.2">
      <c r="A74" s="133"/>
    </row>
    <row r="75" spans="1:1" x14ac:dyDescent="0.2">
      <c r="A75" s="133"/>
    </row>
    <row r="76" spans="1:1" x14ac:dyDescent="0.2">
      <c r="A76" s="133"/>
    </row>
    <row r="77" spans="1:1" x14ac:dyDescent="0.2">
      <c r="A77" s="133"/>
    </row>
    <row r="78" spans="1:1" x14ac:dyDescent="0.2">
      <c r="A78" s="133"/>
    </row>
    <row r="79" spans="1:1" x14ac:dyDescent="0.2">
      <c r="A79" s="133"/>
    </row>
    <row r="80" spans="1:1" x14ac:dyDescent="0.2">
      <c r="A80" s="133"/>
    </row>
    <row r="81" spans="1:1" x14ac:dyDescent="0.2">
      <c r="A81" s="133"/>
    </row>
    <row r="82" spans="1:1" x14ac:dyDescent="0.2">
      <c r="A82" s="133"/>
    </row>
    <row r="83" spans="1:1" x14ac:dyDescent="0.2">
      <c r="A83" s="133"/>
    </row>
    <row r="84" spans="1:1" x14ac:dyDescent="0.2">
      <c r="A84" s="133"/>
    </row>
    <row r="85" spans="1:1" x14ac:dyDescent="0.2">
      <c r="A85" s="133"/>
    </row>
    <row r="86" spans="1:1" x14ac:dyDescent="0.2">
      <c r="A86" s="133"/>
    </row>
    <row r="87" spans="1:1" x14ac:dyDescent="0.2">
      <c r="A87" s="133"/>
    </row>
    <row r="88" spans="1:1" x14ac:dyDescent="0.2">
      <c r="A88" s="133"/>
    </row>
    <row r="89" spans="1:1" x14ac:dyDescent="0.2">
      <c r="A89" s="133"/>
    </row>
    <row r="90" spans="1:1" x14ac:dyDescent="0.2">
      <c r="A90" s="133"/>
    </row>
    <row r="91" spans="1:1" x14ac:dyDescent="0.2">
      <c r="A91" s="133"/>
    </row>
    <row r="92" spans="1:1" x14ac:dyDescent="0.2">
      <c r="A92" s="133"/>
    </row>
    <row r="93" spans="1:1" x14ac:dyDescent="0.2">
      <c r="A93" s="133"/>
    </row>
    <row r="94" spans="1:1" x14ac:dyDescent="0.2">
      <c r="A94" s="133"/>
    </row>
    <row r="95" spans="1:1" x14ac:dyDescent="0.2">
      <c r="A95" s="133"/>
    </row>
    <row r="96" spans="1:1" x14ac:dyDescent="0.2">
      <c r="A96" s="133"/>
    </row>
    <row r="97" spans="1:1" x14ac:dyDescent="0.2">
      <c r="A97" s="133"/>
    </row>
    <row r="98" spans="1:1" x14ac:dyDescent="0.2">
      <c r="A98" s="133"/>
    </row>
    <row r="99" spans="1:1" x14ac:dyDescent="0.2">
      <c r="A99" s="133"/>
    </row>
    <row r="100" spans="1:1" x14ac:dyDescent="0.2">
      <c r="A100" s="133"/>
    </row>
    <row r="101" spans="1:1" x14ac:dyDescent="0.2">
      <c r="A101" s="133"/>
    </row>
    <row r="102" spans="1:1" x14ac:dyDescent="0.2">
      <c r="A102" s="133"/>
    </row>
    <row r="103" spans="1:1" x14ac:dyDescent="0.2">
      <c r="A103" s="133"/>
    </row>
    <row r="104" spans="1:1" x14ac:dyDescent="0.2">
      <c r="A104" s="133"/>
    </row>
    <row r="105" spans="1:1" x14ac:dyDescent="0.2">
      <c r="A105" s="133"/>
    </row>
    <row r="106" spans="1:1" x14ac:dyDescent="0.2">
      <c r="A106" s="133"/>
    </row>
    <row r="107" spans="1:1" x14ac:dyDescent="0.2">
      <c r="A107" s="133"/>
    </row>
    <row r="108" spans="1:1" x14ac:dyDescent="0.2">
      <c r="A108" s="133"/>
    </row>
    <row r="109" spans="1:1" x14ac:dyDescent="0.2">
      <c r="A109" s="133"/>
    </row>
    <row r="110" spans="1:1" x14ac:dyDescent="0.2">
      <c r="A110" s="133"/>
    </row>
    <row r="111" spans="1:1" x14ac:dyDescent="0.2">
      <c r="A111" s="133"/>
    </row>
    <row r="112" spans="1:1" x14ac:dyDescent="0.2">
      <c r="A112" s="133"/>
    </row>
    <row r="113" spans="1:1" x14ac:dyDescent="0.2">
      <c r="A113" s="133"/>
    </row>
    <row r="114" spans="1:1" x14ac:dyDescent="0.2">
      <c r="A114" s="133"/>
    </row>
    <row r="115" spans="1:1" x14ac:dyDescent="0.2">
      <c r="A115" s="133"/>
    </row>
    <row r="116" spans="1:1" x14ac:dyDescent="0.2">
      <c r="A116" s="133"/>
    </row>
    <row r="117" spans="1:1" x14ac:dyDescent="0.2">
      <c r="A117" s="133"/>
    </row>
    <row r="118" spans="1:1" x14ac:dyDescent="0.2">
      <c r="A118" s="133"/>
    </row>
    <row r="119" spans="1:1" x14ac:dyDescent="0.2">
      <c r="A119" s="133"/>
    </row>
    <row r="120" spans="1:1" x14ac:dyDescent="0.2">
      <c r="A120" s="133"/>
    </row>
    <row r="121" spans="1:1" x14ac:dyDescent="0.2">
      <c r="A121" s="133"/>
    </row>
    <row r="122" spans="1:1" x14ac:dyDescent="0.2">
      <c r="A122" s="133"/>
    </row>
    <row r="123" spans="1:1" x14ac:dyDescent="0.2">
      <c r="A123" s="133"/>
    </row>
    <row r="124" spans="1:1" x14ac:dyDescent="0.2">
      <c r="A124" s="133"/>
    </row>
    <row r="125" spans="1:1" x14ac:dyDescent="0.2">
      <c r="A125" s="133"/>
    </row>
    <row r="126" spans="1:1" x14ac:dyDescent="0.2">
      <c r="A126" s="133"/>
    </row>
    <row r="127" spans="1:1" x14ac:dyDescent="0.2">
      <c r="A127" s="133"/>
    </row>
    <row r="128" spans="1:1" x14ac:dyDescent="0.2">
      <c r="A128" s="133"/>
    </row>
    <row r="129" spans="1:1" x14ac:dyDescent="0.2">
      <c r="A129" s="133"/>
    </row>
    <row r="130" spans="1:1" x14ac:dyDescent="0.2">
      <c r="A130" s="133"/>
    </row>
    <row r="131" spans="1:1" x14ac:dyDescent="0.2">
      <c r="A131" s="133"/>
    </row>
    <row r="132" spans="1:1" x14ac:dyDescent="0.2">
      <c r="A132" s="133"/>
    </row>
    <row r="133" spans="1:1" x14ac:dyDescent="0.2">
      <c r="A133" s="133"/>
    </row>
    <row r="134" spans="1:1" x14ac:dyDescent="0.2">
      <c r="A134" s="133"/>
    </row>
    <row r="135" spans="1:1" x14ac:dyDescent="0.2">
      <c r="A135" s="133"/>
    </row>
    <row r="136" spans="1:1" x14ac:dyDescent="0.2">
      <c r="A136" s="133"/>
    </row>
    <row r="137" spans="1:1" x14ac:dyDescent="0.2">
      <c r="A137" s="133"/>
    </row>
    <row r="138" spans="1:1" x14ac:dyDescent="0.2">
      <c r="A138" s="133"/>
    </row>
    <row r="139" spans="1:1" x14ac:dyDescent="0.2">
      <c r="A139" s="133"/>
    </row>
    <row r="140" spans="1:1" x14ac:dyDescent="0.2">
      <c r="A140" s="133"/>
    </row>
    <row r="141" spans="1:1" x14ac:dyDescent="0.2">
      <c r="A141" s="133"/>
    </row>
    <row r="142" spans="1:1" x14ac:dyDescent="0.2">
      <c r="A142" s="133"/>
    </row>
    <row r="143" spans="1:1" x14ac:dyDescent="0.2">
      <c r="A143" s="133"/>
    </row>
    <row r="144" spans="1:1" x14ac:dyDescent="0.2">
      <c r="A144" s="133"/>
    </row>
    <row r="145" spans="1:1" x14ac:dyDescent="0.2">
      <c r="A145" s="133"/>
    </row>
    <row r="146" spans="1:1" x14ac:dyDescent="0.2">
      <c r="A146" s="133"/>
    </row>
    <row r="147" spans="1:1" x14ac:dyDescent="0.2">
      <c r="A147" s="133"/>
    </row>
    <row r="148" spans="1:1" x14ac:dyDescent="0.2">
      <c r="A148" s="133"/>
    </row>
    <row r="149" spans="1:1" x14ac:dyDescent="0.2">
      <c r="A149" s="133"/>
    </row>
    <row r="150" spans="1:1" x14ac:dyDescent="0.2">
      <c r="A150" s="133"/>
    </row>
    <row r="151" spans="1:1" x14ac:dyDescent="0.2">
      <c r="A151" s="133"/>
    </row>
    <row r="152" spans="1:1" x14ac:dyDescent="0.2">
      <c r="A152" s="133"/>
    </row>
    <row r="153" spans="1:1" x14ac:dyDescent="0.2">
      <c r="A153" s="133"/>
    </row>
    <row r="154" spans="1:1" x14ac:dyDescent="0.2">
      <c r="A154" s="133"/>
    </row>
    <row r="155" spans="1:1" x14ac:dyDescent="0.2">
      <c r="A155" s="133"/>
    </row>
    <row r="156" spans="1:1" x14ac:dyDescent="0.2">
      <c r="A156" s="133"/>
    </row>
    <row r="157" spans="1:1" x14ac:dyDescent="0.2">
      <c r="A157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0E31-1908-4F0F-83CE-02FEB49C7493}">
  <dimension ref="A1:D153"/>
  <sheetViews>
    <sheetView workbookViewId="0">
      <pane ySplit="6" topLeftCell="A7" activePane="bottomLeft" state="frozen"/>
      <selection pane="bottomLeft" sqref="A1:D1"/>
    </sheetView>
  </sheetViews>
  <sheetFormatPr baseColWidth="10" defaultColWidth="8.83203125" defaultRowHeight="15" x14ac:dyDescent="0.2"/>
  <cols>
    <col min="1" max="1" width="55" customWidth="1"/>
    <col min="2" max="4" width="12" customWidth="1"/>
  </cols>
  <sheetData>
    <row r="1" spans="1:4" ht="18" x14ac:dyDescent="0.2">
      <c r="A1" s="318" t="s">
        <v>65</v>
      </c>
      <c r="B1" s="319"/>
      <c r="C1" s="319"/>
      <c r="D1" s="319"/>
    </row>
    <row r="2" spans="1:4" ht="18" x14ac:dyDescent="0.2">
      <c r="A2" s="318" t="s">
        <v>458</v>
      </c>
      <c r="B2" s="319"/>
      <c r="C2" s="319"/>
      <c r="D2" s="319"/>
    </row>
    <row r="3" spans="1:4" x14ac:dyDescent="0.2">
      <c r="A3" s="320" t="s">
        <v>744</v>
      </c>
      <c r="B3" s="319"/>
      <c r="C3" s="319"/>
      <c r="D3" s="319"/>
    </row>
    <row r="5" spans="1:4" x14ac:dyDescent="0.2">
      <c r="A5" s="24"/>
      <c r="B5" s="321" t="s">
        <v>422</v>
      </c>
      <c r="C5" s="322"/>
      <c r="D5" s="323"/>
    </row>
    <row r="6" spans="1:4" ht="27" x14ac:dyDescent="0.2">
      <c r="A6" s="24"/>
      <c r="B6" s="23" t="s">
        <v>745</v>
      </c>
      <c r="C6" s="23"/>
      <c r="D6" s="23" t="s">
        <v>746</v>
      </c>
    </row>
    <row r="7" spans="1:4" x14ac:dyDescent="0.2">
      <c r="A7" s="20" t="s">
        <v>127</v>
      </c>
      <c r="B7" s="21"/>
      <c r="C7" s="21"/>
      <c r="D7" s="21"/>
    </row>
    <row r="8" spans="1:4" x14ac:dyDescent="0.2">
      <c r="A8" s="20" t="s">
        <v>138</v>
      </c>
      <c r="B8" s="21"/>
      <c r="C8" s="21"/>
      <c r="D8" s="21"/>
    </row>
    <row r="9" spans="1:4" x14ac:dyDescent="0.2">
      <c r="A9" s="20" t="s">
        <v>139</v>
      </c>
      <c r="B9" s="21"/>
      <c r="C9" s="21"/>
      <c r="D9" s="21"/>
    </row>
    <row r="10" spans="1:4" x14ac:dyDescent="0.2">
      <c r="A10" s="20" t="s">
        <v>470</v>
      </c>
      <c r="B10" s="19">
        <f>13251.11</f>
        <v>13251.11</v>
      </c>
      <c r="C10" s="19"/>
      <c r="D10" s="19">
        <v>29426.83</v>
      </c>
    </row>
    <row r="11" spans="1:4" hidden="1" x14ac:dyDescent="0.2">
      <c r="A11" s="20" t="s">
        <v>500</v>
      </c>
      <c r="B11" s="19">
        <f>0</f>
        <v>0</v>
      </c>
      <c r="C11" s="19"/>
      <c r="D11" s="19">
        <f>0</f>
        <v>0</v>
      </c>
    </row>
    <row r="12" spans="1:4" x14ac:dyDescent="0.2">
      <c r="A12" s="20" t="s">
        <v>140</v>
      </c>
      <c r="B12" s="19">
        <f>47828.7</f>
        <v>47828.7</v>
      </c>
      <c r="C12" s="19"/>
      <c r="D12" s="19">
        <f>77813.84</f>
        <v>77813.84</v>
      </c>
    </row>
    <row r="13" spans="1:4" hidden="1" x14ac:dyDescent="0.2">
      <c r="A13" s="20" t="s">
        <v>141</v>
      </c>
      <c r="B13" s="19">
        <f>0</f>
        <v>0</v>
      </c>
      <c r="C13" s="19"/>
      <c r="D13" s="19">
        <f>0</f>
        <v>0</v>
      </c>
    </row>
    <row r="14" spans="1:4" x14ac:dyDescent="0.2">
      <c r="A14" s="20" t="s">
        <v>471</v>
      </c>
      <c r="B14" s="19">
        <f>79869.79</f>
        <v>79869.789999999994</v>
      </c>
      <c r="C14" s="19"/>
      <c r="D14" s="19">
        <v>131818.62</v>
      </c>
    </row>
    <row r="15" spans="1:4" x14ac:dyDescent="0.2">
      <c r="A15" s="20" t="s">
        <v>472</v>
      </c>
      <c r="B15" s="19">
        <f>79144.52</f>
        <v>79144.52</v>
      </c>
      <c r="C15" s="19"/>
      <c r="D15" s="19">
        <v>109119.99</v>
      </c>
    </row>
    <row r="16" spans="1:4" x14ac:dyDescent="0.2">
      <c r="A16" s="20" t="s">
        <v>501</v>
      </c>
      <c r="B16" s="19">
        <f>0</f>
        <v>0</v>
      </c>
      <c r="C16" s="19"/>
      <c r="D16" s="19">
        <f>0</f>
        <v>0</v>
      </c>
    </row>
    <row r="17" spans="1:4" hidden="1" x14ac:dyDescent="0.2">
      <c r="A17" s="20" t="s">
        <v>502</v>
      </c>
      <c r="B17" s="19">
        <f>0</f>
        <v>0</v>
      </c>
      <c r="C17" s="19"/>
      <c r="D17" s="19">
        <f>0</f>
        <v>0</v>
      </c>
    </row>
    <row r="18" spans="1:4" hidden="1" x14ac:dyDescent="0.2">
      <c r="A18" s="20" t="s">
        <v>503</v>
      </c>
      <c r="B18" s="19">
        <f>0</f>
        <v>0</v>
      </c>
      <c r="C18" s="19"/>
      <c r="D18" s="19">
        <f>0</f>
        <v>0</v>
      </c>
    </row>
    <row r="19" spans="1:4" x14ac:dyDescent="0.2">
      <c r="A19" s="20" t="s">
        <v>142</v>
      </c>
      <c r="B19" s="21"/>
      <c r="C19" s="21"/>
      <c r="D19" s="21"/>
    </row>
    <row r="20" spans="1:4" x14ac:dyDescent="0.2">
      <c r="A20" s="20" t="s">
        <v>143</v>
      </c>
      <c r="B20" s="19">
        <f>0</f>
        <v>0</v>
      </c>
      <c r="C20" s="19"/>
      <c r="D20" s="19">
        <f>20.39</f>
        <v>20.39</v>
      </c>
    </row>
    <row r="21" spans="1:4" x14ac:dyDescent="0.2">
      <c r="A21" s="20" t="s">
        <v>144</v>
      </c>
      <c r="B21" s="22">
        <f>(B19)+(B20)</f>
        <v>0</v>
      </c>
      <c r="C21" s="22"/>
      <c r="D21" s="22">
        <f>(D19)+(D20)</f>
        <v>20.39</v>
      </c>
    </row>
    <row r="22" spans="1:4" x14ac:dyDescent="0.2">
      <c r="A22" s="20" t="s">
        <v>145</v>
      </c>
      <c r="B22" s="22">
        <f>(((((((((B10)+(B11))+(B12))+(B13))+(B14))+(B15))+(B16))+(B17))+(B18))+(B21)</f>
        <v>220094.12</v>
      </c>
      <c r="C22" s="22"/>
      <c r="D22" s="22">
        <f>(((((((((D10)+(D11))+(D12))+(D13))+(D14))+(D15))+(D16))+(D17))+(D18))+(D21)</f>
        <v>348199.67</v>
      </c>
    </row>
    <row r="23" spans="1:4" x14ac:dyDescent="0.2">
      <c r="A23" s="20" t="s">
        <v>146</v>
      </c>
      <c r="B23" s="21"/>
      <c r="C23" s="21"/>
      <c r="D23" s="21"/>
    </row>
    <row r="24" spans="1:4" x14ac:dyDescent="0.2">
      <c r="A24" s="20" t="s">
        <v>147</v>
      </c>
      <c r="B24" s="19">
        <f>150424.59</f>
        <v>150424.59</v>
      </c>
      <c r="C24" s="19"/>
      <c r="D24" s="19">
        <f>153371.58</f>
        <v>153371.57999999999</v>
      </c>
    </row>
    <row r="25" spans="1:4" x14ac:dyDescent="0.2">
      <c r="A25" s="20" t="s">
        <v>148</v>
      </c>
      <c r="B25" s="19">
        <f>-136675.59</f>
        <v>-136675.59</v>
      </c>
      <c r="C25" s="19"/>
      <c r="D25" s="19">
        <f>-153371.58</f>
        <v>-153371.57999999999</v>
      </c>
    </row>
    <row r="26" spans="1:4" x14ac:dyDescent="0.2">
      <c r="A26" s="20" t="s">
        <v>149</v>
      </c>
      <c r="B26" s="22">
        <f>(B24)+(B25)</f>
        <v>13749</v>
      </c>
      <c r="C26" s="22"/>
      <c r="D26" s="22">
        <f>(D24)+(D25)</f>
        <v>0</v>
      </c>
    </row>
    <row r="27" spans="1:4" x14ac:dyDescent="0.2">
      <c r="A27" s="20" t="s">
        <v>150</v>
      </c>
      <c r="B27" s="21"/>
      <c r="C27" s="21"/>
      <c r="D27" s="21"/>
    </row>
    <row r="28" spans="1:4" x14ac:dyDescent="0.2">
      <c r="A28" s="20" t="s">
        <v>151</v>
      </c>
      <c r="B28" s="19">
        <f>1364.34</f>
        <v>1364.34</v>
      </c>
      <c r="C28" s="19"/>
      <c r="D28" s="19">
        <v>7600.38</v>
      </c>
    </row>
    <row r="29" spans="1:4" hidden="1" x14ac:dyDescent="0.2">
      <c r="A29" s="20" t="s">
        <v>645</v>
      </c>
      <c r="B29" s="19">
        <f>0</f>
        <v>0</v>
      </c>
      <c r="C29" s="19"/>
      <c r="D29" s="19">
        <f>0</f>
        <v>0</v>
      </c>
    </row>
    <row r="30" spans="1:4" x14ac:dyDescent="0.2">
      <c r="A30" s="20" t="s">
        <v>152</v>
      </c>
      <c r="B30" s="19">
        <f>2972.33</f>
        <v>2972.33</v>
      </c>
      <c r="C30" s="19"/>
      <c r="D30" s="19">
        <f>2723.66</f>
        <v>2723.66</v>
      </c>
    </row>
    <row r="31" spans="1:4" hidden="1" x14ac:dyDescent="0.2">
      <c r="A31" s="20" t="s">
        <v>153</v>
      </c>
      <c r="B31" s="19">
        <f>0</f>
        <v>0</v>
      </c>
      <c r="C31" s="19"/>
      <c r="D31" s="19">
        <f>0</f>
        <v>0</v>
      </c>
    </row>
    <row r="32" spans="1:4" x14ac:dyDescent="0.2">
      <c r="A32" s="20" t="s">
        <v>154</v>
      </c>
      <c r="B32" s="22">
        <f>(((B28)+(B29))+(B30))+(B31)</f>
        <v>4336.67</v>
      </c>
      <c r="C32" s="22"/>
      <c r="D32" s="22">
        <f>(((D28)+(D29))+(D30))+(D31)</f>
        <v>10324.040000000001</v>
      </c>
    </row>
    <row r="33" spans="1:4" x14ac:dyDescent="0.2">
      <c r="A33" s="20" t="s">
        <v>155</v>
      </c>
      <c r="B33" s="22">
        <f>((B22)+(B26))+(B32)</f>
        <v>238179.79</v>
      </c>
      <c r="C33" s="22"/>
      <c r="D33" s="22">
        <f>((D22)+(D26))+(D32)</f>
        <v>358523.70999999996</v>
      </c>
    </row>
    <row r="34" spans="1:4" x14ac:dyDescent="0.2">
      <c r="A34" s="20" t="s">
        <v>156</v>
      </c>
      <c r="B34" s="21"/>
      <c r="C34" s="21"/>
      <c r="D34" s="21"/>
    </row>
    <row r="35" spans="1:4" x14ac:dyDescent="0.2">
      <c r="A35" s="20" t="s">
        <v>157</v>
      </c>
      <c r="B35" s="21"/>
      <c r="C35" s="21"/>
      <c r="D35" s="21"/>
    </row>
    <row r="36" spans="1:4" x14ac:dyDescent="0.2">
      <c r="A36" s="20" t="s">
        <v>158</v>
      </c>
      <c r="B36" s="21"/>
      <c r="C36" s="21"/>
      <c r="D36" s="21"/>
    </row>
    <row r="37" spans="1:4" x14ac:dyDescent="0.2">
      <c r="A37" s="20" t="s">
        <v>159</v>
      </c>
      <c r="B37" s="19">
        <f>0</f>
        <v>0</v>
      </c>
      <c r="C37" s="19"/>
      <c r="D37" s="19">
        <f>0</f>
        <v>0</v>
      </c>
    </row>
    <row r="38" spans="1:4" x14ac:dyDescent="0.2">
      <c r="A38" s="20" t="s">
        <v>160</v>
      </c>
      <c r="B38" s="19">
        <f>0</f>
        <v>0</v>
      </c>
      <c r="C38" s="19"/>
      <c r="D38" s="19">
        <f>0</f>
        <v>0</v>
      </c>
    </row>
    <row r="39" spans="1:4" x14ac:dyDescent="0.2">
      <c r="A39" s="20" t="s">
        <v>161</v>
      </c>
      <c r="B39" s="19">
        <f>0</f>
        <v>0</v>
      </c>
      <c r="C39" s="19"/>
      <c r="D39" s="19">
        <f>0</f>
        <v>0</v>
      </c>
    </row>
    <row r="40" spans="1:4" x14ac:dyDescent="0.2">
      <c r="A40" s="20" t="s">
        <v>504</v>
      </c>
      <c r="B40" s="19">
        <f>0</f>
        <v>0</v>
      </c>
      <c r="C40" s="19"/>
      <c r="D40" s="19">
        <f>0</f>
        <v>0</v>
      </c>
    </row>
    <row r="41" spans="1:4" x14ac:dyDescent="0.2">
      <c r="A41" s="20" t="s">
        <v>162</v>
      </c>
      <c r="B41" s="22">
        <f>((((B36)+(B37))+(B38))+(B39))+(B40)</f>
        <v>0</v>
      </c>
      <c r="C41" s="22"/>
      <c r="D41" s="22">
        <f>((((D36)+(D37))+(D38))+(D39))+(D40)</f>
        <v>0</v>
      </c>
    </row>
    <row r="42" spans="1:4" x14ac:dyDescent="0.2">
      <c r="A42" s="20" t="s">
        <v>163</v>
      </c>
      <c r="B42" s="21"/>
      <c r="C42" s="21"/>
      <c r="D42" s="21"/>
    </row>
    <row r="43" spans="1:4" x14ac:dyDescent="0.2">
      <c r="A43" s="20" t="s">
        <v>164</v>
      </c>
      <c r="B43" s="19">
        <f>0</f>
        <v>0</v>
      </c>
      <c r="C43" s="19"/>
      <c r="D43" s="19">
        <f>0</f>
        <v>0</v>
      </c>
    </row>
    <row r="44" spans="1:4" x14ac:dyDescent="0.2">
      <c r="A44" s="20" t="s">
        <v>165</v>
      </c>
      <c r="B44" s="19">
        <f>0</f>
        <v>0</v>
      </c>
      <c r="C44" s="19"/>
      <c r="D44" s="19">
        <f>0</f>
        <v>0</v>
      </c>
    </row>
    <row r="45" spans="1:4" x14ac:dyDescent="0.2">
      <c r="A45" s="20" t="s">
        <v>166</v>
      </c>
      <c r="B45" s="19">
        <f>0</f>
        <v>0</v>
      </c>
      <c r="C45" s="19"/>
      <c r="D45" s="19">
        <f>-1587.58</f>
        <v>-1587.58</v>
      </c>
    </row>
    <row r="46" spans="1:4" x14ac:dyDescent="0.2">
      <c r="A46" s="20" t="s">
        <v>167</v>
      </c>
      <c r="B46" s="19">
        <f>0</f>
        <v>0</v>
      </c>
      <c r="C46" s="19"/>
      <c r="D46" s="19">
        <f>0</f>
        <v>0</v>
      </c>
    </row>
    <row r="47" spans="1:4" x14ac:dyDescent="0.2">
      <c r="A47" s="20" t="s">
        <v>168</v>
      </c>
      <c r="B47" s="22">
        <f>((((B42)+(B43))+(B44))+(B45))+(B46)</f>
        <v>0</v>
      </c>
      <c r="C47" s="22"/>
      <c r="D47" s="22">
        <f>((((D42)+(D43))+(D44))+(D45))+(D46)</f>
        <v>-1587.58</v>
      </c>
    </row>
    <row r="48" spans="1:4" x14ac:dyDescent="0.2">
      <c r="A48" s="20" t="s">
        <v>169</v>
      </c>
      <c r="B48" s="21"/>
      <c r="C48" s="21"/>
      <c r="D48" s="21"/>
    </row>
    <row r="49" spans="1:4" x14ac:dyDescent="0.2">
      <c r="A49" s="20" t="s">
        <v>170</v>
      </c>
      <c r="B49" s="19">
        <f>681764.33</f>
        <v>681764.33</v>
      </c>
      <c r="C49" s="19"/>
      <c r="D49" s="19">
        <f>681764.33</f>
        <v>681764.33</v>
      </c>
    </row>
    <row r="50" spans="1:4" x14ac:dyDescent="0.2">
      <c r="A50" s="20" t="s">
        <v>171</v>
      </c>
      <c r="B50" s="19">
        <f>889000</f>
        <v>889000</v>
      </c>
      <c r="C50" s="19"/>
      <c r="D50" s="19">
        <f>889000</f>
        <v>889000</v>
      </c>
    </row>
    <row r="51" spans="1:4" x14ac:dyDescent="0.2">
      <c r="A51" s="20" t="s">
        <v>172</v>
      </c>
      <c r="B51" s="19">
        <f>754792.69</f>
        <v>754792.69</v>
      </c>
      <c r="C51" s="19"/>
      <c r="D51" s="19">
        <f>703478.72</f>
        <v>703478.72</v>
      </c>
    </row>
    <row r="52" spans="1:4" x14ac:dyDescent="0.2">
      <c r="A52" s="20" t="s">
        <v>173</v>
      </c>
      <c r="B52" s="19">
        <f>31751.55</f>
        <v>31751.55</v>
      </c>
      <c r="C52" s="19"/>
      <c r="D52" s="19">
        <f>31751.55</f>
        <v>31751.55</v>
      </c>
    </row>
    <row r="53" spans="1:4" x14ac:dyDescent="0.2">
      <c r="A53" s="20" t="s">
        <v>687</v>
      </c>
      <c r="B53" s="19"/>
      <c r="C53" s="19"/>
      <c r="D53" s="19"/>
    </row>
    <row r="54" spans="1:4" x14ac:dyDescent="0.2">
      <c r="A54" s="20" t="s">
        <v>174</v>
      </c>
      <c r="B54" s="19">
        <f>54758.03</f>
        <v>54758.03</v>
      </c>
      <c r="C54" s="19"/>
      <c r="D54" s="19">
        <f>54758.03</f>
        <v>54758.03</v>
      </c>
    </row>
    <row r="55" spans="1:4" x14ac:dyDescent="0.2">
      <c r="A55" s="20" t="s">
        <v>175</v>
      </c>
      <c r="B55" s="19">
        <f>50676.4</f>
        <v>50676.4</v>
      </c>
      <c r="C55" s="19"/>
      <c r="D55" s="19">
        <f>50676.4</f>
        <v>50676.4</v>
      </c>
    </row>
    <row r="56" spans="1:4" x14ac:dyDescent="0.2">
      <c r="A56" s="20" t="s">
        <v>176</v>
      </c>
      <c r="B56" s="22">
        <f>((B53)+(B54))+(B55)</f>
        <v>105434.43</v>
      </c>
      <c r="C56" s="22"/>
      <c r="D56" s="22">
        <f>((D53)+(D54))+(D55)</f>
        <v>105434.43</v>
      </c>
    </row>
    <row r="57" spans="1:4" x14ac:dyDescent="0.2">
      <c r="A57" s="20" t="s">
        <v>177</v>
      </c>
      <c r="B57" s="22">
        <f>(((((B48)+(B49))+(B50))+(B51))+(B52))+(B56)</f>
        <v>2462743</v>
      </c>
      <c r="C57" s="22"/>
      <c r="D57" s="22">
        <f>(((((D48)+(D49))+(D50))+(D51))+(D52))+(D56)</f>
        <v>2411429.0299999998</v>
      </c>
    </row>
    <row r="58" spans="1:4" x14ac:dyDescent="0.2">
      <c r="A58" s="20" t="s">
        <v>178</v>
      </c>
      <c r="B58" s="21"/>
      <c r="C58" s="21"/>
      <c r="D58" s="21"/>
    </row>
    <row r="59" spans="1:4" x14ac:dyDescent="0.2">
      <c r="A59" s="20" t="s">
        <v>179</v>
      </c>
      <c r="B59" s="19">
        <f>-220142.84</f>
        <v>-220142.84</v>
      </c>
      <c r="C59" s="19"/>
      <c r="D59" s="19">
        <f>-202661.84</f>
        <v>-202661.84</v>
      </c>
    </row>
    <row r="60" spans="1:4" x14ac:dyDescent="0.2">
      <c r="A60" s="20" t="s">
        <v>505</v>
      </c>
      <c r="B60" s="19">
        <f>-229209.74</f>
        <v>-229209.74</v>
      </c>
      <c r="C60" s="19"/>
      <c r="D60" s="19">
        <f>-189480.37</f>
        <v>-189480.37</v>
      </c>
    </row>
    <row r="61" spans="1:4" x14ac:dyDescent="0.2">
      <c r="A61" s="20" t="s">
        <v>423</v>
      </c>
      <c r="B61" s="19">
        <f>-4762.74</f>
        <v>-4762.74</v>
      </c>
      <c r="C61" s="19"/>
      <c r="D61" s="19">
        <f>0</f>
        <v>0</v>
      </c>
    </row>
    <row r="62" spans="1:4" x14ac:dyDescent="0.2">
      <c r="A62" s="20" t="s">
        <v>180</v>
      </c>
      <c r="B62" s="21"/>
      <c r="C62" s="21"/>
      <c r="D62" s="21"/>
    </row>
    <row r="63" spans="1:4" x14ac:dyDescent="0.2">
      <c r="A63" s="20" t="s">
        <v>181</v>
      </c>
      <c r="B63" s="19">
        <f>-29335.77</f>
        <v>-29335.77</v>
      </c>
      <c r="C63" s="19"/>
      <c r="D63" s="19">
        <f>-26678.37</f>
        <v>-26678.37</v>
      </c>
    </row>
    <row r="64" spans="1:4" x14ac:dyDescent="0.2">
      <c r="A64" s="20" t="s">
        <v>182</v>
      </c>
      <c r="B64" s="19">
        <f>-44580.23</f>
        <v>-44580.23</v>
      </c>
      <c r="C64" s="19"/>
      <c r="D64" s="19">
        <f>-43630.23</f>
        <v>-43630.23</v>
      </c>
    </row>
    <row r="65" spans="1:4" x14ac:dyDescent="0.2">
      <c r="A65" s="20" t="s">
        <v>183</v>
      </c>
      <c r="B65" s="22">
        <f>((B62)+(B63))+(B64)</f>
        <v>-73916</v>
      </c>
      <c r="C65" s="22"/>
      <c r="D65" s="22">
        <f>((D62)+(D63))+(D64)</f>
        <v>-70308.600000000006</v>
      </c>
    </row>
    <row r="66" spans="1:4" x14ac:dyDescent="0.2">
      <c r="A66" s="20" t="s">
        <v>184</v>
      </c>
      <c r="B66" s="22">
        <f>((((B58)+(B59))+(B60))+(B61))+(B65)</f>
        <v>-528031.31999999995</v>
      </c>
      <c r="C66" s="22"/>
      <c r="D66" s="22">
        <f>((((D58)+(D59))+(D60))+(D61))+(D65)</f>
        <v>-462450.80999999994</v>
      </c>
    </row>
    <row r="67" spans="1:4" x14ac:dyDescent="0.2">
      <c r="A67" s="20" t="s">
        <v>185</v>
      </c>
      <c r="B67" s="22">
        <f>((((B35)+(B41))+(B47))+(B57))+(B66)</f>
        <v>1934711.6800000002</v>
      </c>
      <c r="C67" s="22"/>
      <c r="D67" s="22">
        <f>((((D35)+(D41))+(D47))+(D57))+(D66)</f>
        <v>1947390.6399999997</v>
      </c>
    </row>
    <row r="68" spans="1:4" x14ac:dyDescent="0.2">
      <c r="A68" s="20" t="s">
        <v>186</v>
      </c>
      <c r="B68" s="22">
        <f>B67</f>
        <v>1934711.6800000002</v>
      </c>
      <c r="C68" s="22"/>
      <c r="D68" s="22">
        <f>D67</f>
        <v>1947390.6399999997</v>
      </c>
    </row>
    <row r="69" spans="1:4" x14ac:dyDescent="0.2">
      <c r="A69" s="20" t="s">
        <v>187</v>
      </c>
      <c r="B69" s="21"/>
      <c r="C69" s="21"/>
      <c r="D69" s="21"/>
    </row>
    <row r="70" spans="1:4" x14ac:dyDescent="0.2">
      <c r="A70" s="20" t="s">
        <v>188</v>
      </c>
      <c r="B70" s="21"/>
      <c r="C70" s="21"/>
      <c r="D70" s="21"/>
    </row>
    <row r="71" spans="1:4" hidden="1" x14ac:dyDescent="0.2">
      <c r="A71" s="20" t="s">
        <v>506</v>
      </c>
      <c r="B71" s="19">
        <f>0</f>
        <v>0</v>
      </c>
      <c r="C71" s="19"/>
      <c r="D71" s="19">
        <f>0</f>
        <v>0</v>
      </c>
    </row>
    <row r="72" spans="1:4" hidden="1" x14ac:dyDescent="0.2">
      <c r="A72" s="20" t="s">
        <v>507</v>
      </c>
      <c r="B72" s="19">
        <f>0</f>
        <v>0</v>
      </c>
      <c r="C72" s="19"/>
      <c r="D72" s="19">
        <f>0</f>
        <v>0</v>
      </c>
    </row>
    <row r="73" spans="1:4" hidden="1" x14ac:dyDescent="0.2">
      <c r="A73" s="20" t="s">
        <v>508</v>
      </c>
      <c r="B73" s="19">
        <f>0</f>
        <v>0</v>
      </c>
      <c r="C73" s="19"/>
      <c r="D73" s="19">
        <f>0</f>
        <v>0</v>
      </c>
    </row>
    <row r="74" spans="1:4" hidden="1" x14ac:dyDescent="0.2">
      <c r="A74" s="20" t="s">
        <v>509</v>
      </c>
      <c r="B74" s="19">
        <f>0</f>
        <v>0</v>
      </c>
      <c r="C74" s="19"/>
      <c r="D74" s="19">
        <f>0</f>
        <v>0</v>
      </c>
    </row>
    <row r="75" spans="1:4" hidden="1" x14ac:dyDescent="0.2">
      <c r="A75" s="20" t="s">
        <v>510</v>
      </c>
      <c r="B75" s="19">
        <f>0</f>
        <v>0</v>
      </c>
      <c r="C75" s="19"/>
      <c r="D75" s="19">
        <f>0</f>
        <v>0</v>
      </c>
    </row>
    <row r="76" spans="1:4" hidden="1" x14ac:dyDescent="0.2">
      <c r="A76" s="20" t="s">
        <v>511</v>
      </c>
      <c r="B76" s="22">
        <f>(((B72)+(B73))+(B74))+(B75)</f>
        <v>0</v>
      </c>
      <c r="C76" s="22"/>
      <c r="D76" s="22">
        <f>(((D72)+(D73))+(D74))+(D75)</f>
        <v>0</v>
      </c>
    </row>
    <row r="77" spans="1:4" hidden="1" x14ac:dyDescent="0.2">
      <c r="A77" s="20" t="s">
        <v>512</v>
      </c>
      <c r="B77" s="19">
        <f>0</f>
        <v>0</v>
      </c>
      <c r="C77" s="19"/>
      <c r="D77" s="19">
        <f>0</f>
        <v>0</v>
      </c>
    </row>
    <row r="78" spans="1:4" x14ac:dyDescent="0.2">
      <c r="A78" s="20" t="s">
        <v>189</v>
      </c>
      <c r="B78" s="19">
        <f>54000.73</f>
        <v>54000.73</v>
      </c>
      <c r="C78" s="19"/>
      <c r="D78" s="19">
        <v>47263.26</v>
      </c>
    </row>
    <row r="79" spans="1:4" x14ac:dyDescent="0.2">
      <c r="A79" s="20" t="s">
        <v>190</v>
      </c>
      <c r="B79" s="19">
        <f>98717.15</f>
        <v>98717.15</v>
      </c>
      <c r="C79" s="19"/>
      <c r="D79" s="19">
        <v>89313.97</v>
      </c>
    </row>
    <row r="80" spans="1:4" x14ac:dyDescent="0.2">
      <c r="A80" s="20" t="s">
        <v>627</v>
      </c>
      <c r="B80" s="19">
        <f>57678.65</f>
        <v>57678.65</v>
      </c>
      <c r="C80" s="19"/>
      <c r="D80" s="19">
        <v>50482.35</v>
      </c>
    </row>
    <row r="81" spans="1:4" x14ac:dyDescent="0.2">
      <c r="A81" s="20" t="s">
        <v>191</v>
      </c>
      <c r="B81" s="19">
        <f>20481.59</f>
        <v>20481.59</v>
      </c>
      <c r="C81" s="19"/>
      <c r="D81" s="19">
        <v>17404.57</v>
      </c>
    </row>
    <row r="82" spans="1:4" x14ac:dyDescent="0.2">
      <c r="A82" s="20" t="s">
        <v>192</v>
      </c>
      <c r="B82" s="22">
        <f>(((((((B70)+(B71))+(B76))+(B77))+(B78))+(B79))+(B80))+(B81)</f>
        <v>230878.12</v>
      </c>
      <c r="C82" s="22"/>
      <c r="D82" s="22">
        <f>(((((((D70)+(D71))+(D76))+(D77))+(D78))+(D79))+(D80))+(D81)</f>
        <v>204464.15000000002</v>
      </c>
    </row>
    <row r="83" spans="1:4" hidden="1" x14ac:dyDescent="0.2">
      <c r="A83" s="20" t="s">
        <v>634</v>
      </c>
      <c r="B83" s="19">
        <f>0</f>
        <v>0</v>
      </c>
      <c r="C83" s="19"/>
      <c r="D83" s="19">
        <f>0</f>
        <v>0</v>
      </c>
    </row>
    <row r="84" spans="1:4" x14ac:dyDescent="0.2">
      <c r="A84" s="20" t="s">
        <v>193</v>
      </c>
      <c r="B84" s="22">
        <f>(B82)+(B83)</f>
        <v>230878.12</v>
      </c>
      <c r="C84" s="22"/>
      <c r="D84" s="22">
        <f>(D82)+(D83)</f>
        <v>204464.15000000002</v>
      </c>
    </row>
    <row r="85" spans="1:4" x14ac:dyDescent="0.2">
      <c r="A85" s="20" t="s">
        <v>128</v>
      </c>
      <c r="B85" s="22">
        <f>((B33)+(B68))+(B84)</f>
        <v>2403769.5900000003</v>
      </c>
      <c r="C85" s="22"/>
      <c r="D85" s="22">
        <f>((D33)+(D68))+(D84)</f>
        <v>2510378.4999999995</v>
      </c>
    </row>
    <row r="86" spans="1:4" ht="14.25" customHeight="1" x14ac:dyDescent="0.2">
      <c r="A86" s="20" t="s">
        <v>194</v>
      </c>
      <c r="B86" s="21"/>
      <c r="C86" s="21"/>
      <c r="D86" s="21"/>
    </row>
    <row r="87" spans="1:4" ht="14.25" customHeight="1" x14ac:dyDescent="0.2">
      <c r="A87" s="20" t="s">
        <v>195</v>
      </c>
      <c r="B87" s="21"/>
      <c r="C87" s="21"/>
      <c r="D87" s="21"/>
    </row>
    <row r="88" spans="1:4" ht="14.25" customHeight="1" x14ac:dyDescent="0.2">
      <c r="A88" s="20" t="s">
        <v>196</v>
      </c>
      <c r="B88" s="21"/>
      <c r="C88" s="21"/>
      <c r="D88" s="21"/>
    </row>
    <row r="89" spans="1:4" ht="14.25" customHeight="1" x14ac:dyDescent="0.2">
      <c r="A89" s="20" t="s">
        <v>197</v>
      </c>
      <c r="B89" s="21"/>
      <c r="C89" s="21"/>
      <c r="D89" s="21"/>
    </row>
    <row r="90" spans="1:4" ht="14.25" customHeight="1" x14ac:dyDescent="0.2">
      <c r="A90" s="20" t="s">
        <v>198</v>
      </c>
      <c r="B90" s="19">
        <f>25666.68</f>
        <v>25666.68</v>
      </c>
      <c r="C90" s="19"/>
      <c r="D90" s="19">
        <v>18960.099999999999</v>
      </c>
    </row>
    <row r="91" spans="1:4" ht="14.25" customHeight="1" x14ac:dyDescent="0.2">
      <c r="A91" s="20" t="s">
        <v>199</v>
      </c>
      <c r="B91" s="22">
        <f>B90</f>
        <v>25666.68</v>
      </c>
      <c r="C91" s="22"/>
      <c r="D91" s="22">
        <f>D90</f>
        <v>18960.099999999999</v>
      </c>
    </row>
    <row r="92" spans="1:4" ht="14.25" customHeight="1" x14ac:dyDescent="0.2">
      <c r="A92" s="20" t="s">
        <v>200</v>
      </c>
      <c r="B92" s="21"/>
      <c r="C92" s="21"/>
      <c r="D92" s="21"/>
    </row>
    <row r="93" spans="1:4" ht="14.25" customHeight="1" x14ac:dyDescent="0.2">
      <c r="A93" s="20" t="s">
        <v>463</v>
      </c>
      <c r="B93" s="21"/>
      <c r="C93" s="21"/>
      <c r="D93" s="21"/>
    </row>
    <row r="94" spans="1:4" ht="14.25" customHeight="1" x14ac:dyDescent="0.2">
      <c r="A94" s="20" t="s">
        <v>513</v>
      </c>
      <c r="B94" s="19">
        <f>25</f>
        <v>25</v>
      </c>
      <c r="C94" s="19"/>
      <c r="D94" s="19">
        <v>0</v>
      </c>
    </row>
    <row r="95" spans="1:4" ht="14.25" customHeight="1" x14ac:dyDescent="0.2">
      <c r="A95" s="20" t="s">
        <v>514</v>
      </c>
      <c r="B95" s="19">
        <f>428.3</f>
        <v>428.3</v>
      </c>
      <c r="C95" s="19"/>
      <c r="D95" s="19">
        <v>-0.01</v>
      </c>
    </row>
    <row r="96" spans="1:4" ht="14.25" hidden="1" customHeight="1" x14ac:dyDescent="0.2">
      <c r="A96" s="20" t="s">
        <v>467</v>
      </c>
      <c r="B96" s="19">
        <f>0</f>
        <v>0</v>
      </c>
      <c r="C96" s="19"/>
      <c r="D96" s="19">
        <v>0</v>
      </c>
    </row>
    <row r="97" spans="1:4" ht="14.25" customHeight="1" x14ac:dyDescent="0.2">
      <c r="A97" s="20" t="s">
        <v>747</v>
      </c>
      <c r="B97" s="19">
        <f>2822.12</f>
        <v>2822.12</v>
      </c>
      <c r="C97" s="19"/>
      <c r="D97" s="19">
        <v>0</v>
      </c>
    </row>
    <row r="98" spans="1:4" ht="14.25" customHeight="1" x14ac:dyDescent="0.2">
      <c r="A98" s="20" t="s">
        <v>740</v>
      </c>
      <c r="B98" s="19">
        <f>2234.63</f>
        <v>2234.63</v>
      </c>
      <c r="C98" s="19"/>
      <c r="D98" s="19">
        <v>0</v>
      </c>
    </row>
    <row r="99" spans="1:4" ht="14.25" customHeight="1" x14ac:dyDescent="0.2">
      <c r="A99" s="20" t="s">
        <v>748</v>
      </c>
      <c r="B99" s="19">
        <f>798.75</f>
        <v>798.75</v>
      </c>
      <c r="C99" s="19"/>
      <c r="D99" s="19">
        <v>0</v>
      </c>
    </row>
    <row r="100" spans="1:4" ht="14.25" customHeight="1" x14ac:dyDescent="0.2">
      <c r="A100" s="20" t="s">
        <v>464</v>
      </c>
      <c r="B100" s="22">
        <f>((((((B93)+(B94))+(B95))+(B96))+(B97))+(B98))+(B99)</f>
        <v>6308.8</v>
      </c>
      <c r="C100" s="22"/>
      <c r="D100" s="22">
        <f>((((((D93)+(D94))+(D95))+(D96))+(D97))+(D98))+(D99)</f>
        <v>-0.01</v>
      </c>
    </row>
    <row r="101" spans="1:4" ht="14.25" customHeight="1" x14ac:dyDescent="0.2">
      <c r="A101" s="20" t="s">
        <v>201</v>
      </c>
      <c r="B101" s="22">
        <f>B100</f>
        <v>6308.8</v>
      </c>
      <c r="C101" s="22"/>
      <c r="D101" s="22">
        <f>D100</f>
        <v>-0.01</v>
      </c>
    </row>
    <row r="102" spans="1:4" ht="14.25" customHeight="1" x14ac:dyDescent="0.2">
      <c r="A102" s="20" t="s">
        <v>202</v>
      </c>
      <c r="B102" s="21"/>
      <c r="C102" s="21"/>
      <c r="D102" s="21"/>
    </row>
    <row r="103" spans="1:4" ht="14.25" hidden="1" customHeight="1" x14ac:dyDescent="0.2">
      <c r="A103" s="20" t="s">
        <v>203</v>
      </c>
      <c r="B103" s="19">
        <f>0</f>
        <v>0</v>
      </c>
      <c r="C103" s="19"/>
      <c r="D103" s="19">
        <f>0</f>
        <v>0</v>
      </c>
    </row>
    <row r="104" spans="1:4" ht="14.25" hidden="1" customHeight="1" x14ac:dyDescent="0.2">
      <c r="A104" s="20" t="s">
        <v>515</v>
      </c>
      <c r="B104" s="19">
        <f>0</f>
        <v>0</v>
      </c>
      <c r="C104" s="19"/>
      <c r="D104" s="19">
        <f>0</f>
        <v>0</v>
      </c>
    </row>
    <row r="105" spans="1:4" ht="14.25" customHeight="1" x14ac:dyDescent="0.2">
      <c r="A105" s="20" t="s">
        <v>516</v>
      </c>
      <c r="B105" s="19">
        <f>0</f>
        <v>0</v>
      </c>
      <c r="C105" s="19"/>
      <c r="D105" s="19">
        <v>3368.02</v>
      </c>
    </row>
    <row r="106" spans="1:4" ht="14.25" customHeight="1" x14ac:dyDescent="0.2">
      <c r="A106" s="20" t="s">
        <v>431</v>
      </c>
      <c r="B106" s="19">
        <f>7650</f>
        <v>7650</v>
      </c>
      <c r="C106" s="19"/>
      <c r="D106" s="19">
        <v>3200</v>
      </c>
    </row>
    <row r="107" spans="1:4" ht="14.25" hidden="1" customHeight="1" x14ac:dyDescent="0.2">
      <c r="A107" s="20" t="s">
        <v>204</v>
      </c>
      <c r="B107" s="19">
        <f>0</f>
        <v>0</v>
      </c>
      <c r="C107" s="19"/>
      <c r="D107" s="19">
        <v>0</v>
      </c>
    </row>
    <row r="108" spans="1:4" ht="14.25" hidden="1" customHeight="1" x14ac:dyDescent="0.2">
      <c r="A108" s="20" t="s">
        <v>517</v>
      </c>
      <c r="B108" s="19">
        <f>0</f>
        <v>0</v>
      </c>
      <c r="C108" s="19"/>
      <c r="D108" s="19">
        <f>0</f>
        <v>0</v>
      </c>
    </row>
    <row r="109" spans="1:4" ht="14.25" customHeight="1" x14ac:dyDescent="0.2">
      <c r="A109" s="20" t="s">
        <v>614</v>
      </c>
      <c r="B109" s="19">
        <f>0</f>
        <v>0</v>
      </c>
      <c r="C109" s="19"/>
      <c r="D109" s="19">
        <v>1016.64</v>
      </c>
    </row>
    <row r="110" spans="1:4" ht="14.25" hidden="1" customHeight="1" x14ac:dyDescent="0.2">
      <c r="A110" s="20" t="s">
        <v>518</v>
      </c>
      <c r="B110" s="19">
        <f>0</f>
        <v>0</v>
      </c>
      <c r="C110" s="19"/>
      <c r="D110" s="19">
        <f>0</f>
        <v>0</v>
      </c>
    </row>
    <row r="111" spans="1:4" ht="14.25" hidden="1" customHeight="1" x14ac:dyDescent="0.2">
      <c r="A111" s="20" t="s">
        <v>519</v>
      </c>
      <c r="B111" s="19">
        <f>0</f>
        <v>0</v>
      </c>
      <c r="C111" s="19"/>
      <c r="D111" s="19">
        <f>0</f>
        <v>0</v>
      </c>
    </row>
    <row r="112" spans="1:4" ht="14.25" hidden="1" customHeight="1" x14ac:dyDescent="0.2">
      <c r="A112" s="20" t="s">
        <v>520</v>
      </c>
      <c r="B112" s="19">
        <f>0</f>
        <v>0</v>
      </c>
      <c r="C112" s="19"/>
      <c r="D112" s="19">
        <f>0</f>
        <v>0</v>
      </c>
    </row>
    <row r="113" spans="1:4" ht="14.25" hidden="1" customHeight="1" x14ac:dyDescent="0.2">
      <c r="A113" s="20" t="s">
        <v>628</v>
      </c>
      <c r="B113" s="19">
        <f>0</f>
        <v>0</v>
      </c>
      <c r="C113" s="19"/>
      <c r="D113" s="19">
        <f>0</f>
        <v>0</v>
      </c>
    </row>
    <row r="114" spans="1:4" ht="14.25" hidden="1" customHeight="1" x14ac:dyDescent="0.2">
      <c r="A114" s="20" t="s">
        <v>615</v>
      </c>
      <c r="B114" s="19">
        <f>0</f>
        <v>0</v>
      </c>
      <c r="C114" s="19"/>
      <c r="D114" s="19">
        <f>0</f>
        <v>0</v>
      </c>
    </row>
    <row r="115" spans="1:4" ht="14.25" hidden="1" customHeight="1" x14ac:dyDescent="0.2">
      <c r="A115" s="20" t="s">
        <v>445</v>
      </c>
      <c r="B115" s="21"/>
      <c r="C115" s="21"/>
      <c r="D115" s="21"/>
    </row>
    <row r="116" spans="1:4" ht="14.25" hidden="1" customHeight="1" x14ac:dyDescent="0.2">
      <c r="A116" s="20" t="s">
        <v>585</v>
      </c>
      <c r="B116" s="19">
        <f>0</f>
        <v>0</v>
      </c>
      <c r="C116" s="19"/>
      <c r="D116" s="19">
        <f>0</f>
        <v>0</v>
      </c>
    </row>
    <row r="117" spans="1:4" ht="14.25" hidden="1" customHeight="1" x14ac:dyDescent="0.2">
      <c r="A117" s="20" t="s">
        <v>586</v>
      </c>
      <c r="B117" s="19">
        <f>0</f>
        <v>0</v>
      </c>
      <c r="C117" s="19"/>
      <c r="D117" s="19">
        <f>0</f>
        <v>0</v>
      </c>
    </row>
    <row r="118" spans="1:4" ht="14.25" hidden="1" customHeight="1" x14ac:dyDescent="0.2">
      <c r="A118" s="20" t="s">
        <v>535</v>
      </c>
      <c r="B118" s="19">
        <f>0</f>
        <v>0</v>
      </c>
      <c r="C118" s="19"/>
      <c r="D118" s="19">
        <f>0</f>
        <v>0</v>
      </c>
    </row>
    <row r="119" spans="1:4" ht="14.25" hidden="1" customHeight="1" x14ac:dyDescent="0.2">
      <c r="A119" s="20" t="s">
        <v>536</v>
      </c>
      <c r="B119" s="19">
        <f>0</f>
        <v>0</v>
      </c>
      <c r="C119" s="19"/>
      <c r="D119" s="19">
        <f>0</f>
        <v>0</v>
      </c>
    </row>
    <row r="120" spans="1:4" ht="14.25" hidden="1" customHeight="1" x14ac:dyDescent="0.2">
      <c r="A120" s="20" t="s">
        <v>446</v>
      </c>
      <c r="B120" s="19">
        <f>0</f>
        <v>0</v>
      </c>
      <c r="C120" s="19"/>
      <c r="D120" s="19">
        <f>0</f>
        <v>0</v>
      </c>
    </row>
    <row r="121" spans="1:4" ht="14.25" hidden="1" customHeight="1" x14ac:dyDescent="0.2">
      <c r="A121" s="20" t="s">
        <v>575</v>
      </c>
      <c r="B121" s="19">
        <f>0</f>
        <v>0</v>
      </c>
      <c r="C121" s="19"/>
      <c r="D121" s="19">
        <f>0</f>
        <v>0</v>
      </c>
    </row>
    <row r="122" spans="1:4" ht="14.25" hidden="1" customHeight="1" x14ac:dyDescent="0.2">
      <c r="A122" s="20" t="s">
        <v>537</v>
      </c>
      <c r="B122" s="19">
        <f>0</f>
        <v>0</v>
      </c>
      <c r="C122" s="19"/>
      <c r="D122" s="19">
        <f>0</f>
        <v>0</v>
      </c>
    </row>
    <row r="123" spans="1:4" ht="14.25" customHeight="1" x14ac:dyDescent="0.2">
      <c r="A123" s="20" t="s">
        <v>559</v>
      </c>
      <c r="B123" s="19">
        <f>0</f>
        <v>0</v>
      </c>
      <c r="C123" s="19"/>
      <c r="D123" s="19">
        <v>181.52</v>
      </c>
    </row>
    <row r="124" spans="1:4" ht="14.25" hidden="1" customHeight="1" x14ac:dyDescent="0.2">
      <c r="A124" s="20" t="s">
        <v>447</v>
      </c>
      <c r="B124" s="19">
        <f>0</f>
        <v>0</v>
      </c>
      <c r="C124" s="19"/>
      <c r="D124" s="19">
        <f>0</f>
        <v>0</v>
      </c>
    </row>
    <row r="125" spans="1:4" ht="14.25" hidden="1" customHeight="1" x14ac:dyDescent="0.2">
      <c r="A125" s="20" t="s">
        <v>448</v>
      </c>
      <c r="B125" s="19">
        <f>0</f>
        <v>0</v>
      </c>
      <c r="C125" s="19"/>
      <c r="D125" s="19">
        <f>0</f>
        <v>0</v>
      </c>
    </row>
    <row r="126" spans="1:4" ht="14.25" hidden="1" customHeight="1" x14ac:dyDescent="0.2">
      <c r="A126" s="20" t="s">
        <v>449</v>
      </c>
      <c r="B126" s="19">
        <f>0</f>
        <v>0</v>
      </c>
      <c r="C126" s="19"/>
      <c r="D126" s="19">
        <f>0</f>
        <v>0</v>
      </c>
    </row>
    <row r="127" spans="1:4" ht="14.25" customHeight="1" x14ac:dyDescent="0.2">
      <c r="A127" s="20" t="s">
        <v>450</v>
      </c>
      <c r="B127" s="22">
        <f>(((((((((((B115)+(B116))+(B117))+(B118))+(B119))+(B120))+(B121))+(B122))+(B123))+(B124))+(B125))+(B126)</f>
        <v>0</v>
      </c>
      <c r="C127" s="22"/>
      <c r="D127" s="22">
        <f>(((((((((((D115)+(D116))+(D117))+(D118))+(D119))+(D120))+(D121))+(D122))+(D123))+(D124))+(D125))+(D126)</f>
        <v>181.52</v>
      </c>
    </row>
    <row r="128" spans="1:4" ht="14.25" customHeight="1" x14ac:dyDescent="0.2">
      <c r="A128" s="20" t="s">
        <v>205</v>
      </c>
      <c r="B128" s="22">
        <f>((((((((((((B103)+(B104))+(B105))+(B106))+(B107))+(B108))+(B109))+(B110))+(B111))+(B112))+(B113))+(B114))+(B127)</f>
        <v>7650</v>
      </c>
      <c r="C128" s="22"/>
      <c r="D128" s="22">
        <f>((((((((((((D103)+(D104))+(D105))+(D106))+(D107))+(D108))+(D109))+(D110))+(D111))+(D112))+(D113))+(D114))+(D127)</f>
        <v>7766.1800000000012</v>
      </c>
    </row>
    <row r="129" spans="1:4" ht="14.25" customHeight="1" x14ac:dyDescent="0.2">
      <c r="A129" s="20" t="s">
        <v>206</v>
      </c>
      <c r="B129" s="22">
        <f>((B91)+(B101))+(B128)</f>
        <v>39625.479999999996</v>
      </c>
      <c r="C129" s="22"/>
      <c r="D129" s="22">
        <f>((D91)+(D101))+(D128)</f>
        <v>26726.27</v>
      </c>
    </row>
    <row r="130" spans="1:4" ht="14.25" customHeight="1" x14ac:dyDescent="0.2">
      <c r="A130" s="20" t="s">
        <v>207</v>
      </c>
      <c r="B130" s="22">
        <f>B129</f>
        <v>39625.479999999996</v>
      </c>
      <c r="C130" s="22"/>
      <c r="D130" s="22">
        <f>D129</f>
        <v>26726.27</v>
      </c>
    </row>
    <row r="131" spans="1:4" ht="14.25" customHeight="1" x14ac:dyDescent="0.2">
      <c r="A131" s="20" t="s">
        <v>208</v>
      </c>
      <c r="B131" s="21"/>
      <c r="C131" s="21"/>
      <c r="D131" s="21"/>
    </row>
    <row r="132" spans="1:4" ht="14.25" customHeight="1" x14ac:dyDescent="0.2">
      <c r="A132" s="20" t="s">
        <v>394</v>
      </c>
      <c r="B132" s="19"/>
      <c r="C132" s="19"/>
      <c r="D132" s="19"/>
    </row>
    <row r="133" spans="1:4" ht="14.25" customHeight="1" x14ac:dyDescent="0.2">
      <c r="A133" s="20" t="s">
        <v>209</v>
      </c>
      <c r="B133" s="19">
        <f>2164136.5</f>
        <v>2164136.5</v>
      </c>
      <c r="C133" s="19"/>
      <c r="D133" s="19">
        <f>1986450.57</f>
        <v>1986450.57</v>
      </c>
    </row>
    <row r="134" spans="1:4" ht="14.25" customHeight="1" x14ac:dyDescent="0.2">
      <c r="A134" s="20" t="s">
        <v>210</v>
      </c>
      <c r="B134" s="19">
        <f>26546.37</f>
        <v>26546.37</v>
      </c>
      <c r="C134" s="19"/>
      <c r="D134" s="19">
        <f>378490.08</f>
        <v>378490.08</v>
      </c>
    </row>
    <row r="135" spans="1:4" ht="14.25" customHeight="1" x14ac:dyDescent="0.2">
      <c r="A135" s="20" t="s">
        <v>395</v>
      </c>
      <c r="B135" s="22">
        <f>((B132)+(B133))+(B134)</f>
        <v>2190682.87</v>
      </c>
      <c r="C135" s="22"/>
      <c r="D135" s="22">
        <f>((D132)+(D133))+(D134)</f>
        <v>2364940.65</v>
      </c>
    </row>
    <row r="136" spans="1:4" ht="14.25" customHeight="1" x14ac:dyDescent="0.2">
      <c r="A136" s="20" t="s">
        <v>629</v>
      </c>
      <c r="B136" s="19"/>
      <c r="C136" s="19"/>
      <c r="D136" s="19"/>
    </row>
    <row r="137" spans="1:4" ht="14.25" customHeight="1" x14ac:dyDescent="0.2">
      <c r="A137" s="20" t="s">
        <v>396</v>
      </c>
      <c r="B137" s="21"/>
      <c r="C137" s="21"/>
      <c r="D137" s="21"/>
    </row>
    <row r="138" spans="1:4" ht="14.25" customHeight="1" x14ac:dyDescent="0.2">
      <c r="A138" s="20" t="s">
        <v>397</v>
      </c>
      <c r="B138" s="19">
        <f>79758</f>
        <v>79758</v>
      </c>
      <c r="C138" s="19"/>
      <c r="D138" s="19">
        <f>79758</f>
        <v>79758</v>
      </c>
    </row>
    <row r="139" spans="1:4" ht="14.25" customHeight="1" x14ac:dyDescent="0.2">
      <c r="A139" s="20" t="s">
        <v>616</v>
      </c>
      <c r="B139" s="19">
        <f>0</f>
        <v>0</v>
      </c>
      <c r="C139" s="19"/>
      <c r="D139" s="19">
        <f>55627.96</f>
        <v>55627.96</v>
      </c>
    </row>
    <row r="140" spans="1:4" ht="14.25" customHeight="1" x14ac:dyDescent="0.2">
      <c r="A140" s="20" t="s">
        <v>741</v>
      </c>
      <c r="B140" s="19">
        <f>93461.43</f>
        <v>93461.43</v>
      </c>
      <c r="C140" s="19"/>
      <c r="D140" s="21"/>
    </row>
    <row r="141" spans="1:4" ht="14.25" customHeight="1" x14ac:dyDescent="0.2">
      <c r="A141" s="20" t="s">
        <v>742</v>
      </c>
      <c r="B141" s="19">
        <f>73615.24</f>
        <v>73615.240000000005</v>
      </c>
      <c r="C141" s="19"/>
      <c r="D141" s="21"/>
    </row>
    <row r="142" spans="1:4" ht="14.25" customHeight="1" x14ac:dyDescent="0.2">
      <c r="A142" s="20" t="s">
        <v>743</v>
      </c>
      <c r="B142" s="22">
        <f>((B139)+(B140))+(B141)</f>
        <v>167076.66999999998</v>
      </c>
      <c r="C142" s="22"/>
      <c r="D142" s="22">
        <f>((D139)+(D140))+(D141)</f>
        <v>55627.96</v>
      </c>
    </row>
    <row r="143" spans="1:4" ht="14.25" customHeight="1" x14ac:dyDescent="0.2">
      <c r="A143" s="20" t="s">
        <v>424</v>
      </c>
      <c r="B143" s="19">
        <f>0</f>
        <v>0</v>
      </c>
      <c r="C143" s="19"/>
      <c r="D143" s="19">
        <f>0</f>
        <v>0</v>
      </c>
    </row>
    <row r="144" spans="1:4" ht="14.25" customHeight="1" x14ac:dyDescent="0.2">
      <c r="A144" s="20" t="s">
        <v>539</v>
      </c>
      <c r="B144" s="19">
        <f>41759</f>
        <v>41759</v>
      </c>
      <c r="C144" s="19"/>
      <c r="D144" s="19">
        <f>41759</f>
        <v>41759</v>
      </c>
    </row>
    <row r="145" spans="1:4" ht="14.25" customHeight="1" x14ac:dyDescent="0.2">
      <c r="A145" s="20" t="s">
        <v>398</v>
      </c>
      <c r="B145" s="22">
        <f>((((B137)+(B138))+(B142))+(B143))+(B144)</f>
        <v>288593.67</v>
      </c>
      <c r="C145" s="22"/>
      <c r="D145" s="22">
        <f>((((D137)+(D138))+(D142))+(D143))+(D144)</f>
        <v>177144.95999999999</v>
      </c>
    </row>
    <row r="146" spans="1:4" ht="14.25" hidden="1" customHeight="1" x14ac:dyDescent="0.2">
      <c r="A146" s="20" t="s">
        <v>637</v>
      </c>
      <c r="B146" s="19">
        <f>0</f>
        <v>0</v>
      </c>
      <c r="C146" s="19"/>
      <c r="D146" s="19">
        <f>0</f>
        <v>0</v>
      </c>
    </row>
    <row r="147" spans="1:4" ht="14.25" customHeight="1" x14ac:dyDescent="0.2">
      <c r="A147" s="20" t="s">
        <v>211</v>
      </c>
      <c r="B147" s="19">
        <f>-115132.43</f>
        <v>-115132.43</v>
      </c>
      <c r="C147" s="19"/>
      <c r="D147" s="19">
        <v>-58433.38</v>
      </c>
    </row>
    <row r="148" spans="1:4" x14ac:dyDescent="0.2">
      <c r="A148" s="20" t="s">
        <v>212</v>
      </c>
      <c r="B148" s="22">
        <f>((((B135)+(B136))+(B145))+(B146))+(B147)</f>
        <v>2364144.11</v>
      </c>
      <c r="C148" s="22"/>
      <c r="D148" s="22">
        <f>((((D135)+(D136))+(D145))+(D146))+(D147)</f>
        <v>2483652.23</v>
      </c>
    </row>
    <row r="149" spans="1:4" x14ac:dyDescent="0.2">
      <c r="A149" s="20" t="s">
        <v>213</v>
      </c>
      <c r="B149" s="22">
        <f>(B130)+(B148)</f>
        <v>2403769.59</v>
      </c>
      <c r="C149" s="22"/>
      <c r="D149" s="22">
        <f>(D130)+(D148)</f>
        <v>2510378.5</v>
      </c>
    </row>
    <row r="150" spans="1:4" x14ac:dyDescent="0.2">
      <c r="A150" s="20"/>
      <c r="B150" s="21"/>
      <c r="C150" s="21"/>
      <c r="D150" s="21"/>
    </row>
    <row r="153" spans="1:4" x14ac:dyDescent="0.2">
      <c r="A153" s="324" t="s">
        <v>749</v>
      </c>
      <c r="B153" s="319"/>
      <c r="C153" s="319"/>
      <c r="D153" s="319"/>
    </row>
  </sheetData>
  <mergeCells count="5">
    <mergeCell ref="A1:D1"/>
    <mergeCell ref="A2:D2"/>
    <mergeCell ref="A3:D3"/>
    <mergeCell ref="B5:D5"/>
    <mergeCell ref="A153:D15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8.83203125" defaultRowHeight="16" x14ac:dyDescent="0.2"/>
  <cols>
    <col min="1" max="1" width="32.6640625" style="88" customWidth="1"/>
    <col min="2" max="2" width="16.5" style="88" customWidth="1"/>
    <col min="3" max="3" width="14.33203125" style="88" customWidth="1"/>
    <col min="4" max="4" width="6.6640625" style="88" customWidth="1"/>
    <col min="5" max="5" width="14.6640625" style="169" customWidth="1"/>
    <col min="6" max="6" width="19" style="169" customWidth="1"/>
    <col min="7" max="9" width="8.83203125" style="88"/>
    <col min="10" max="10" width="23.6640625" style="88" customWidth="1"/>
    <col min="11" max="16384" width="8.83203125" style="88"/>
  </cols>
  <sheetData>
    <row r="1" spans="1:10" x14ac:dyDescent="0.2">
      <c r="A1" s="87" t="s">
        <v>656</v>
      </c>
      <c r="B1" s="87"/>
      <c r="C1" s="87"/>
      <c r="D1" s="87"/>
    </row>
    <row r="2" spans="1:10" x14ac:dyDescent="0.2">
      <c r="A2" s="87"/>
      <c r="B2" s="87"/>
      <c r="C2" s="87"/>
      <c r="D2" s="87"/>
    </row>
    <row r="3" spans="1:10" ht="35" thickBot="1" x14ac:dyDescent="0.25">
      <c r="A3" s="1" t="s">
        <v>752</v>
      </c>
      <c r="B3" s="124">
        <v>2024</v>
      </c>
      <c r="C3" s="124">
        <v>2024</v>
      </c>
      <c r="D3" s="2"/>
      <c r="E3" s="170">
        <v>2023</v>
      </c>
      <c r="F3" s="171" t="s">
        <v>657</v>
      </c>
    </row>
    <row r="4" spans="1:10" x14ac:dyDescent="0.2">
      <c r="A4" s="3" t="s">
        <v>96</v>
      </c>
      <c r="B4" s="4"/>
      <c r="C4" s="4"/>
      <c r="D4" s="4"/>
      <c r="E4" s="172"/>
      <c r="F4" s="172"/>
    </row>
    <row r="5" spans="1:10" x14ac:dyDescent="0.2">
      <c r="A5" s="89"/>
      <c r="B5" s="90"/>
      <c r="C5" s="90"/>
      <c r="D5" s="90"/>
      <c r="E5" s="173"/>
      <c r="F5" s="173"/>
    </row>
    <row r="6" spans="1:10" x14ac:dyDescent="0.2">
      <c r="A6" s="87" t="s">
        <v>97</v>
      </c>
      <c r="B6" s="11"/>
      <c r="C6" s="11"/>
      <c r="D6" s="11"/>
      <c r="E6" s="174"/>
      <c r="F6" s="174"/>
    </row>
    <row r="7" spans="1:10" x14ac:dyDescent="0.2">
      <c r="A7" s="7" t="s">
        <v>626</v>
      </c>
      <c r="B7" s="90">
        <v>87036.77</v>
      </c>
      <c r="C7" s="90">
        <v>180350</v>
      </c>
      <c r="D7" s="90"/>
      <c r="E7" s="175">
        <v>111875.17</v>
      </c>
      <c r="F7" s="173">
        <v>197350</v>
      </c>
      <c r="J7" s="90"/>
    </row>
    <row r="8" spans="1:10" x14ac:dyDescent="0.2">
      <c r="A8" s="7" t="s">
        <v>98</v>
      </c>
      <c r="B8" s="91">
        <v>71330.23</v>
      </c>
      <c r="C8" s="90">
        <v>159000</v>
      </c>
      <c r="D8" s="90"/>
      <c r="E8" s="176">
        <v>85475.25</v>
      </c>
      <c r="F8" s="173">
        <v>150000</v>
      </c>
    </row>
    <row r="9" spans="1:10" x14ac:dyDescent="0.2">
      <c r="A9" s="7"/>
      <c r="B9" s="90"/>
      <c r="C9" s="90"/>
      <c r="D9" s="90"/>
      <c r="E9" s="173"/>
      <c r="F9" s="173"/>
    </row>
    <row r="10" spans="1:10" x14ac:dyDescent="0.2">
      <c r="A10" s="92" t="s">
        <v>99</v>
      </c>
      <c r="B10" s="90"/>
      <c r="C10" s="90"/>
      <c r="D10" s="90"/>
      <c r="E10" s="173"/>
      <c r="F10" s="173"/>
    </row>
    <row r="11" spans="1:10" x14ac:dyDescent="0.2">
      <c r="A11" s="7"/>
      <c r="B11" s="90"/>
      <c r="C11" s="90"/>
      <c r="D11" s="90"/>
      <c r="E11" s="173"/>
      <c r="F11" s="173"/>
    </row>
    <row r="12" spans="1:10" x14ac:dyDescent="0.2">
      <c r="A12" s="7" t="s">
        <v>461</v>
      </c>
      <c r="B12" s="90">
        <v>40008.839999999997</v>
      </c>
      <c r="C12" s="90">
        <v>5100</v>
      </c>
      <c r="D12" s="90"/>
      <c r="E12" s="173">
        <v>5035.3599999999997</v>
      </c>
      <c r="F12" s="173">
        <v>100</v>
      </c>
      <c r="J12" s="90"/>
    </row>
    <row r="13" spans="1:10" x14ac:dyDescent="0.2">
      <c r="A13" s="93" t="s">
        <v>635</v>
      </c>
      <c r="B13" s="94"/>
      <c r="C13" s="95"/>
      <c r="D13" s="90"/>
      <c r="E13" s="177">
        <v>3880.48</v>
      </c>
      <c r="F13" s="177"/>
    </row>
    <row r="14" spans="1:10" x14ac:dyDescent="0.2">
      <c r="A14" s="7" t="s">
        <v>99</v>
      </c>
      <c r="B14" s="90"/>
      <c r="C14" s="90">
        <f>SUM(C11:C13)</f>
        <v>5100</v>
      </c>
      <c r="D14" s="90"/>
      <c r="E14" s="173">
        <f>SUM(E11:E13)</f>
        <v>8915.84</v>
      </c>
      <c r="F14" s="173">
        <f>SUM(F11:F13)</f>
        <v>100</v>
      </c>
    </row>
    <row r="15" spans="1:10" x14ac:dyDescent="0.2">
      <c r="A15" s="96" t="s">
        <v>100</v>
      </c>
      <c r="B15" s="97">
        <f>B7+B8+B12</f>
        <v>198375.84</v>
      </c>
      <c r="C15" s="97">
        <f>C7+C8+C14</f>
        <v>344450</v>
      </c>
      <c r="D15" s="97"/>
      <c r="E15" s="178">
        <f>E7+E8+E14</f>
        <v>206266.25999999998</v>
      </c>
      <c r="F15" s="178">
        <f>F7+F8+F14</f>
        <v>347450</v>
      </c>
    </row>
    <row r="16" spans="1:10" x14ac:dyDescent="0.2">
      <c r="B16" s="90"/>
      <c r="C16" s="90"/>
      <c r="D16" s="90"/>
      <c r="E16" s="173"/>
      <c r="F16" s="173"/>
    </row>
    <row r="17" spans="1:11" x14ac:dyDescent="0.2">
      <c r="A17" s="87" t="s">
        <v>101</v>
      </c>
      <c r="B17" s="11"/>
      <c r="C17" s="11"/>
      <c r="D17" s="11"/>
      <c r="E17" s="174"/>
      <c r="F17" s="174"/>
    </row>
    <row r="18" spans="1:11" x14ac:dyDescent="0.2">
      <c r="A18" s="89" t="s">
        <v>102</v>
      </c>
      <c r="B18" s="91">
        <v>91449.02</v>
      </c>
      <c r="C18" s="90">
        <v>179000</v>
      </c>
      <c r="D18" s="90"/>
      <c r="E18" s="179">
        <v>133862.32</v>
      </c>
      <c r="F18" s="173">
        <v>167000</v>
      </c>
    </row>
    <row r="19" spans="1:11" x14ac:dyDescent="0.2">
      <c r="A19" s="89" t="s">
        <v>103</v>
      </c>
      <c r="B19" s="95">
        <v>52500</v>
      </c>
      <c r="C19" s="90">
        <v>90000</v>
      </c>
      <c r="D19" s="90"/>
      <c r="E19" s="175">
        <v>60000</v>
      </c>
      <c r="F19" s="173">
        <v>90000</v>
      </c>
    </row>
    <row r="20" spans="1:11" x14ac:dyDescent="0.2">
      <c r="A20" s="89" t="s">
        <v>641</v>
      </c>
      <c r="B20" s="141">
        <v>5619.13</v>
      </c>
      <c r="D20" s="90"/>
      <c r="E20" s="173"/>
      <c r="F20" s="173"/>
    </row>
    <row r="21" spans="1:11" x14ac:dyDescent="0.2">
      <c r="A21" s="89" t="s">
        <v>686</v>
      </c>
      <c r="B21" s="141"/>
      <c r="D21" s="90"/>
      <c r="E21" s="173"/>
      <c r="F21" s="173"/>
    </row>
    <row r="22" spans="1:11" x14ac:dyDescent="0.2">
      <c r="A22" s="89" t="s">
        <v>104</v>
      </c>
      <c r="B22" s="91">
        <v>56119.25</v>
      </c>
      <c r="C22" s="94">
        <v>76186.399999999994</v>
      </c>
      <c r="D22" s="94"/>
      <c r="E22" s="177">
        <v>62419.25</v>
      </c>
      <c r="F22" s="177">
        <v>0</v>
      </c>
    </row>
    <row r="23" spans="1:11" x14ac:dyDescent="0.2">
      <c r="A23" s="96" t="s">
        <v>105</v>
      </c>
      <c r="B23" s="98">
        <f>SUM(B17:B22)</f>
        <v>205687.40000000002</v>
      </c>
      <c r="C23" s="11">
        <f>SUM(C18:C22)</f>
        <v>345186.4</v>
      </c>
      <c r="D23" s="11"/>
      <c r="E23" s="174">
        <f>SUM(E17:E22)</f>
        <v>256281.57</v>
      </c>
      <c r="F23" s="174">
        <f>SUM(F18:F22)</f>
        <v>257000</v>
      </c>
    </row>
    <row r="24" spans="1:11" x14ac:dyDescent="0.2">
      <c r="A24" s="96"/>
      <c r="B24" s="11"/>
      <c r="C24" s="11"/>
      <c r="D24" s="11"/>
      <c r="E24" s="174"/>
      <c r="F24" s="174"/>
    </row>
    <row r="25" spans="1:11" ht="17" thickBot="1" x14ac:dyDescent="0.25">
      <c r="A25" s="5" t="s">
        <v>106</v>
      </c>
      <c r="B25" s="164">
        <f>B15+B23</f>
        <v>404063.24</v>
      </c>
      <c r="C25" s="6">
        <f>C15+C23</f>
        <v>689636.4</v>
      </c>
      <c r="D25" s="6"/>
      <c r="E25" s="180">
        <f>E15+E23</f>
        <v>462547.82999999996</v>
      </c>
      <c r="F25" s="180">
        <f>F15+F23</f>
        <v>604450</v>
      </c>
    </row>
    <row r="26" spans="1:11" x14ac:dyDescent="0.2">
      <c r="A26" s="89"/>
      <c r="B26" s="90"/>
      <c r="C26" s="90"/>
      <c r="D26" s="90"/>
      <c r="E26" s="173"/>
      <c r="F26" s="173"/>
    </row>
    <row r="27" spans="1:11" x14ac:dyDescent="0.2">
      <c r="A27" s="3" t="s">
        <v>107</v>
      </c>
      <c r="B27" s="4"/>
      <c r="C27" s="4"/>
      <c r="D27" s="4"/>
      <c r="E27" s="172"/>
      <c r="F27" s="172"/>
    </row>
    <row r="28" spans="1:11" x14ac:dyDescent="0.2">
      <c r="A28" s="89"/>
      <c r="B28" s="90"/>
      <c r="C28" s="90"/>
      <c r="D28" s="90"/>
      <c r="E28" s="173"/>
      <c r="F28" s="173"/>
    </row>
    <row r="29" spans="1:11" x14ac:dyDescent="0.2">
      <c r="A29" s="12" t="s">
        <v>108</v>
      </c>
      <c r="B29" s="90"/>
      <c r="C29" s="90"/>
      <c r="D29" s="90"/>
      <c r="E29" s="173"/>
      <c r="F29" s="173"/>
    </row>
    <row r="30" spans="1:11" x14ac:dyDescent="0.2">
      <c r="A30" s="7" t="s">
        <v>109</v>
      </c>
      <c r="B30" s="22">
        <v>89284.160000000003</v>
      </c>
      <c r="C30" s="90">
        <v>134223.29</v>
      </c>
      <c r="D30" s="90"/>
      <c r="E30" s="175">
        <v>97134.68</v>
      </c>
      <c r="F30" s="173">
        <v>116271.49</v>
      </c>
    </row>
    <row r="31" spans="1:11" ht="17" x14ac:dyDescent="0.2">
      <c r="A31" s="99" t="s">
        <v>129</v>
      </c>
      <c r="B31" s="90">
        <v>52500</v>
      </c>
      <c r="C31" s="90">
        <v>90000</v>
      </c>
      <c r="D31" s="90"/>
      <c r="E31" s="175">
        <v>60000</v>
      </c>
      <c r="F31" s="173">
        <v>90000</v>
      </c>
    </row>
    <row r="32" spans="1:11" x14ac:dyDescent="0.2">
      <c r="A32" s="99"/>
      <c r="B32" s="90"/>
      <c r="C32" s="90"/>
      <c r="D32" s="90"/>
      <c r="E32" s="173"/>
      <c r="F32" s="173"/>
      <c r="H32" s="100"/>
      <c r="I32" s="100"/>
      <c r="J32" s="100"/>
      <c r="K32" s="100"/>
    </row>
    <row r="33" spans="1:10" x14ac:dyDescent="0.2">
      <c r="B33" s="101"/>
      <c r="C33" s="101"/>
      <c r="D33" s="90"/>
      <c r="E33" s="181"/>
      <c r="F33" s="181"/>
    </row>
    <row r="34" spans="1:10" x14ac:dyDescent="0.2">
      <c r="A34" s="7" t="s">
        <v>110</v>
      </c>
      <c r="B34" s="102">
        <v>65498.29</v>
      </c>
      <c r="C34" s="103">
        <v>69000</v>
      </c>
      <c r="D34" s="104"/>
      <c r="E34" s="182">
        <v>52249</v>
      </c>
      <c r="F34" s="183">
        <v>149000</v>
      </c>
    </row>
    <row r="35" spans="1:10" x14ac:dyDescent="0.2">
      <c r="A35" s="7" t="s">
        <v>111</v>
      </c>
      <c r="B35" s="102">
        <v>103238.72</v>
      </c>
      <c r="C35" s="102">
        <v>90087.61</v>
      </c>
      <c r="D35" s="102"/>
      <c r="E35" s="182">
        <v>82569.600000000006</v>
      </c>
      <c r="F35" s="184">
        <v>0</v>
      </c>
    </row>
    <row r="36" spans="1:10" x14ac:dyDescent="0.2">
      <c r="A36" s="105" t="s">
        <v>112</v>
      </c>
      <c r="B36" s="138">
        <f>SUM(B30:B35)</f>
        <v>310521.17000000004</v>
      </c>
      <c r="C36" s="97">
        <f>SUM(C30:C35)</f>
        <v>383310.9</v>
      </c>
      <c r="D36" s="97"/>
      <c r="E36" s="178">
        <f>SUM(E30:E35)</f>
        <v>291953.28000000003</v>
      </c>
      <c r="F36" s="178">
        <f>SUM(F30:F35)</f>
        <v>355271.49</v>
      </c>
    </row>
    <row r="37" spans="1:10" x14ac:dyDescent="0.2">
      <c r="A37" s="106"/>
      <c r="B37" s="11"/>
      <c r="C37" s="11"/>
      <c r="D37" s="11"/>
      <c r="E37" s="174"/>
      <c r="F37" s="174"/>
    </row>
    <row r="38" spans="1:10" x14ac:dyDescent="0.2">
      <c r="A38" s="12" t="s">
        <v>113</v>
      </c>
      <c r="B38" s="11"/>
      <c r="C38" s="11"/>
      <c r="D38" s="11"/>
      <c r="E38" s="174"/>
      <c r="F38" s="174"/>
    </row>
    <row r="39" spans="1:10" x14ac:dyDescent="0.2">
      <c r="A39" s="7" t="s">
        <v>114</v>
      </c>
      <c r="B39" s="90">
        <v>56110.1</v>
      </c>
      <c r="C39" s="107">
        <v>131880</v>
      </c>
      <c r="D39" s="90"/>
      <c r="E39" s="175">
        <v>84013.71</v>
      </c>
      <c r="F39" s="185">
        <v>128000</v>
      </c>
    </row>
    <row r="40" spans="1:10" x14ac:dyDescent="0.2">
      <c r="A40" s="7" t="s">
        <v>115</v>
      </c>
      <c r="B40" s="90">
        <v>63306.29</v>
      </c>
      <c r="C40" s="108">
        <v>64700</v>
      </c>
      <c r="D40" s="90"/>
      <c r="E40" s="175">
        <v>79101.259999999995</v>
      </c>
      <c r="F40" s="186">
        <v>87880</v>
      </c>
      <c r="J40" s="142"/>
    </row>
    <row r="41" spans="1:10" x14ac:dyDescent="0.2">
      <c r="A41" s="7" t="s">
        <v>130</v>
      </c>
      <c r="B41" s="90">
        <v>19566.05</v>
      </c>
      <c r="C41" s="108">
        <v>24056.400000000001</v>
      </c>
      <c r="D41" s="90"/>
      <c r="E41" s="175">
        <v>26301.85</v>
      </c>
      <c r="F41" s="186">
        <v>28108.400000000001</v>
      </c>
    </row>
    <row r="42" spans="1:10" x14ac:dyDescent="0.2">
      <c r="A42" s="7" t="s">
        <v>697</v>
      </c>
      <c r="B42" s="90">
        <v>1465</v>
      </c>
      <c r="C42" s="108"/>
      <c r="D42" s="90"/>
      <c r="E42" s="175"/>
      <c r="F42" s="186"/>
    </row>
    <row r="43" spans="1:10" x14ac:dyDescent="0.2">
      <c r="A43" s="7" t="s">
        <v>598</v>
      </c>
      <c r="B43" s="90">
        <v>8330.2199999999993</v>
      </c>
      <c r="C43" s="108">
        <v>34900</v>
      </c>
      <c r="D43" s="90"/>
      <c r="E43" s="173">
        <v>15715.41</v>
      </c>
      <c r="F43" s="186"/>
    </row>
    <row r="44" spans="1:10" x14ac:dyDescent="0.2">
      <c r="A44" s="109" t="s">
        <v>116</v>
      </c>
      <c r="B44" s="134">
        <v>32351.95</v>
      </c>
      <c r="C44" s="110">
        <v>48350</v>
      </c>
      <c r="D44" s="101"/>
      <c r="E44" s="187">
        <v>53268.53</v>
      </c>
      <c r="F44" s="188">
        <v>39100</v>
      </c>
    </row>
    <row r="45" spans="1:10" x14ac:dyDescent="0.2">
      <c r="A45" s="111" t="s">
        <v>117</v>
      </c>
      <c r="B45" s="101">
        <v>30589.43</v>
      </c>
      <c r="C45" s="110">
        <v>41300</v>
      </c>
      <c r="D45" s="101"/>
      <c r="E45" s="187">
        <v>40472.67</v>
      </c>
      <c r="F45" s="188">
        <v>36000</v>
      </c>
    </row>
    <row r="46" spans="1:10" x14ac:dyDescent="0.2">
      <c r="A46" s="105" t="s">
        <v>118</v>
      </c>
      <c r="B46" s="97">
        <f>SUM(B39:B45)</f>
        <v>211719.04000000001</v>
      </c>
      <c r="C46" s="97">
        <f>SUM(C39:C45)</f>
        <v>345186.4</v>
      </c>
      <c r="D46" s="97"/>
      <c r="E46" s="178">
        <f>SUM(E38:E45)</f>
        <v>298873.43</v>
      </c>
      <c r="F46" s="178">
        <f>SUM(F39:F45)</f>
        <v>319088.40000000002</v>
      </c>
    </row>
    <row r="47" spans="1:10" x14ac:dyDescent="0.2">
      <c r="A47" s="8"/>
      <c r="B47" s="9"/>
      <c r="C47" s="9"/>
      <c r="D47" s="9"/>
      <c r="E47" s="189"/>
      <c r="F47" s="189"/>
    </row>
    <row r="48" spans="1:10" x14ac:dyDescent="0.2">
      <c r="A48" s="8"/>
      <c r="B48" s="9"/>
      <c r="C48" s="9"/>
      <c r="D48" s="9"/>
      <c r="E48" s="189"/>
      <c r="F48" s="189"/>
    </row>
    <row r="49" spans="1:6" x14ac:dyDescent="0.2">
      <c r="A49" s="106"/>
      <c r="B49" s="11"/>
      <c r="C49" s="11"/>
      <c r="D49" s="11"/>
      <c r="E49" s="174"/>
      <c r="F49" s="174"/>
    </row>
    <row r="50" spans="1:6" ht="17" thickBot="1" x14ac:dyDescent="0.25">
      <c r="A50" s="5" t="s">
        <v>119</v>
      </c>
      <c r="B50" s="6">
        <f>B36+B46</f>
        <v>522240.21000000008</v>
      </c>
      <c r="C50" s="6">
        <f>C36+C46+C48</f>
        <v>728497.3</v>
      </c>
      <c r="D50" s="6"/>
      <c r="E50" s="180">
        <f>E36+E46</f>
        <v>590826.71</v>
      </c>
      <c r="F50" s="180">
        <f>F36+F46+F48</f>
        <v>674359.89</v>
      </c>
    </row>
    <row r="51" spans="1:6" ht="10.25" customHeight="1" x14ac:dyDescent="0.2">
      <c r="A51" s="8"/>
      <c r="B51" s="9"/>
      <c r="C51" s="9"/>
      <c r="D51" s="9"/>
      <c r="E51" s="189"/>
      <c r="F51" s="189"/>
    </row>
    <row r="52" spans="1:6" x14ac:dyDescent="0.2">
      <c r="A52" s="10" t="s">
        <v>120</v>
      </c>
      <c r="B52" s="11">
        <f>B25-B50</f>
        <v>-118176.97000000009</v>
      </c>
      <c r="C52" s="11">
        <f>C25-C50</f>
        <v>-38860.900000000023</v>
      </c>
      <c r="D52" s="11"/>
      <c r="E52" s="174">
        <f>E25-E50</f>
        <v>-128278.88</v>
      </c>
      <c r="F52" s="174">
        <v>0</v>
      </c>
    </row>
    <row r="53" spans="1:6" ht="9" customHeight="1" x14ac:dyDescent="0.2">
      <c r="A53" s="12"/>
      <c r="B53" s="13"/>
      <c r="C53" s="13"/>
      <c r="D53" s="13"/>
      <c r="E53" s="190"/>
      <c r="F53" s="190"/>
    </row>
    <row r="54" spans="1:6" x14ac:dyDescent="0.2">
      <c r="A54" s="87" t="s">
        <v>462</v>
      </c>
      <c r="B54" s="112">
        <v>24978.84</v>
      </c>
      <c r="C54" s="112"/>
      <c r="D54" s="112"/>
      <c r="E54" s="191">
        <v>52663.47</v>
      </c>
      <c r="F54" s="191"/>
    </row>
    <row r="55" spans="1:6" x14ac:dyDescent="0.2">
      <c r="A55" s="87" t="s">
        <v>643</v>
      </c>
      <c r="B55" s="112">
        <v>3862.78</v>
      </c>
      <c r="C55" s="112"/>
      <c r="D55" s="112"/>
      <c r="E55" s="191">
        <v>12986.03</v>
      </c>
      <c r="F55" s="191"/>
    </row>
    <row r="56" spans="1:6" x14ac:dyDescent="0.2">
      <c r="A56" s="87" t="s">
        <v>642</v>
      </c>
      <c r="B56" s="112">
        <v>11189.02</v>
      </c>
      <c r="C56" s="112"/>
      <c r="D56" s="112"/>
      <c r="E56" s="191"/>
      <c r="F56" s="191"/>
    </row>
    <row r="57" spans="1:6" x14ac:dyDescent="0.2">
      <c r="A57" s="87"/>
      <c r="B57" s="112"/>
      <c r="C57" s="112"/>
      <c r="D57" s="112"/>
      <c r="E57" s="191"/>
      <c r="F57" s="191"/>
    </row>
    <row r="58" spans="1:6" x14ac:dyDescent="0.2">
      <c r="A58" s="87" t="s">
        <v>584</v>
      </c>
      <c r="B58" s="112"/>
      <c r="C58" s="112"/>
      <c r="D58" s="112"/>
      <c r="E58" s="191"/>
      <c r="F58" s="191"/>
    </row>
    <row r="59" spans="1:6" x14ac:dyDescent="0.2">
      <c r="A59" s="87" t="s">
        <v>532</v>
      </c>
      <c r="B59" s="112"/>
      <c r="C59" s="112"/>
      <c r="D59" s="112"/>
      <c r="E59" s="191"/>
      <c r="F59" s="191"/>
    </row>
    <row r="60" spans="1:6" x14ac:dyDescent="0.2">
      <c r="A60" s="87"/>
      <c r="B60" s="112"/>
      <c r="C60" s="112"/>
      <c r="D60" s="112"/>
      <c r="E60" s="191"/>
      <c r="F60" s="191"/>
    </row>
    <row r="61" spans="1:6" x14ac:dyDescent="0.2">
      <c r="A61" s="87" t="s">
        <v>530</v>
      </c>
      <c r="B61" s="112"/>
      <c r="C61" s="112"/>
      <c r="D61" s="112"/>
      <c r="E61" s="191">
        <v>4196</v>
      </c>
      <c r="F61" s="191"/>
    </row>
    <row r="62" spans="1:6" ht="17" x14ac:dyDescent="0.2">
      <c r="A62" s="113" t="s">
        <v>126</v>
      </c>
      <c r="B62" s="114">
        <f>SUM(B52:B61)</f>
        <v>-78146.330000000089</v>
      </c>
      <c r="C62" s="112"/>
      <c r="D62" s="112"/>
      <c r="E62" s="191">
        <f>SUM(E51:E61)</f>
        <v>-58433.380000000005</v>
      </c>
      <c r="F62" s="191"/>
    </row>
    <row r="63" spans="1:6" ht="8" customHeight="1" x14ac:dyDescent="0.2"/>
    <row r="64" spans="1:6" x14ac:dyDescent="0.2">
      <c r="A64" s="89" t="s">
        <v>121</v>
      </c>
      <c r="B64" s="115"/>
      <c r="C64" s="116">
        <v>4193</v>
      </c>
      <c r="D64" s="116"/>
      <c r="E64" s="192"/>
      <c r="F64" s="192">
        <v>4586</v>
      </c>
    </row>
    <row r="65" spans="1:6" x14ac:dyDescent="0.2">
      <c r="A65" s="117" t="s">
        <v>122</v>
      </c>
      <c r="C65" s="118">
        <v>36.92</v>
      </c>
      <c r="D65" s="118"/>
      <c r="E65" s="193"/>
      <c r="F65" s="193">
        <v>36.950000000000003</v>
      </c>
    </row>
    <row r="66" spans="1:6" x14ac:dyDescent="0.2">
      <c r="A66" s="89" t="s">
        <v>123</v>
      </c>
      <c r="C66" s="119">
        <v>4.0999999999999996</v>
      </c>
      <c r="D66" s="119"/>
      <c r="E66" s="194"/>
      <c r="F66" s="194">
        <v>4.0999999999999996</v>
      </c>
    </row>
    <row r="67" spans="1:6" x14ac:dyDescent="0.2">
      <c r="A67" s="120" t="s">
        <v>124</v>
      </c>
      <c r="B67" s="115"/>
      <c r="C67" s="121">
        <v>8.98</v>
      </c>
      <c r="D67" s="121"/>
      <c r="E67" s="195"/>
      <c r="F67" s="195">
        <v>8.9499999999999993</v>
      </c>
    </row>
    <row r="68" spans="1:6" x14ac:dyDescent="0.2">
      <c r="A68" s="89" t="s">
        <v>125</v>
      </c>
      <c r="C68" s="122">
        <f>SUM(C65:C67)</f>
        <v>50</v>
      </c>
      <c r="D68" s="122"/>
      <c r="E68" s="196"/>
      <c r="F68" s="196">
        <f>SUM(F65:F67)</f>
        <v>50</v>
      </c>
    </row>
    <row r="69" spans="1:6" x14ac:dyDescent="0.2">
      <c r="A69" s="89"/>
      <c r="B69" s="122"/>
    </row>
  </sheetData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3"/>
  <sheetViews>
    <sheetView workbookViewId="0">
      <selection sqref="A1:C1"/>
    </sheetView>
  </sheetViews>
  <sheetFormatPr baseColWidth="10" defaultColWidth="8.83203125" defaultRowHeight="15" x14ac:dyDescent="0.2"/>
  <cols>
    <col min="1" max="1" width="37.6640625" customWidth="1"/>
    <col min="2" max="2" width="16.6640625" customWidth="1"/>
    <col min="3" max="3" width="14.6640625" customWidth="1"/>
    <col min="6" max="6" width="9.5" bestFit="1" customWidth="1"/>
    <col min="8" max="8" width="9.5" bestFit="1" customWidth="1"/>
    <col min="10" max="10" width="28.83203125" customWidth="1"/>
    <col min="11" max="11" width="28.6640625" customWidth="1"/>
  </cols>
  <sheetData>
    <row r="1" spans="1:3" ht="18" x14ac:dyDescent="0.2">
      <c r="A1" s="318" t="s">
        <v>65</v>
      </c>
      <c r="B1" s="318"/>
      <c r="C1" s="318"/>
    </row>
    <row r="2" spans="1:3" ht="18" x14ac:dyDescent="0.2">
      <c r="A2" s="318" t="s">
        <v>655</v>
      </c>
      <c r="B2" s="318"/>
      <c r="C2" s="318"/>
    </row>
    <row r="3" spans="1:3" x14ac:dyDescent="0.2">
      <c r="A3" s="325" t="s">
        <v>752</v>
      </c>
      <c r="B3" s="325"/>
      <c r="C3" s="325"/>
    </row>
    <row r="5" spans="1:3" x14ac:dyDescent="0.2">
      <c r="A5" s="24"/>
      <c r="B5" s="24"/>
      <c r="C5" s="23" t="s">
        <v>422</v>
      </c>
    </row>
    <row r="6" spans="1:3" x14ac:dyDescent="0.2">
      <c r="A6" s="20" t="s">
        <v>0</v>
      </c>
      <c r="B6" s="20"/>
      <c r="C6" s="21"/>
    </row>
    <row r="7" spans="1:3" x14ac:dyDescent="0.2">
      <c r="A7" s="20" t="s">
        <v>214</v>
      </c>
      <c r="B7" s="20"/>
      <c r="C7" s="21"/>
    </row>
    <row r="8" spans="1:3" x14ac:dyDescent="0.2">
      <c r="A8" s="20" t="s">
        <v>215</v>
      </c>
      <c r="B8" s="20"/>
      <c r="C8" s="21"/>
    </row>
    <row r="9" spans="1:3" x14ac:dyDescent="0.2">
      <c r="A9" s="20" t="s">
        <v>216</v>
      </c>
      <c r="B9" s="19">
        <v>71330.23</v>
      </c>
      <c r="C9" s="19">
        <v>159000</v>
      </c>
    </row>
    <row r="10" spans="1:3" x14ac:dyDescent="0.2">
      <c r="A10" s="20" t="s">
        <v>218</v>
      </c>
      <c r="B10" s="22">
        <f>(B8)+(B9)</f>
        <v>71330.23</v>
      </c>
      <c r="C10" s="22">
        <f>(C8)+(C9)</f>
        <v>159000</v>
      </c>
    </row>
    <row r="11" spans="1:3" x14ac:dyDescent="0.2">
      <c r="A11" s="20" t="s">
        <v>402</v>
      </c>
      <c r="B11" s="21"/>
      <c r="C11" s="21"/>
    </row>
    <row r="12" spans="1:3" x14ac:dyDescent="0.2">
      <c r="A12" s="20" t="s">
        <v>219</v>
      </c>
      <c r="B12" s="21"/>
      <c r="C12" s="21"/>
    </row>
    <row r="13" spans="1:3" x14ac:dyDescent="0.2">
      <c r="A13" s="20" t="s">
        <v>220</v>
      </c>
      <c r="B13" s="19">
        <v>87036.77</v>
      </c>
      <c r="C13" s="19">
        <v>174800</v>
      </c>
    </row>
    <row r="14" spans="1:3" x14ac:dyDescent="0.2">
      <c r="A14" s="20" t="s">
        <v>222</v>
      </c>
      <c r="B14" s="22">
        <f>(B12)+(B13)</f>
        <v>87036.77</v>
      </c>
      <c r="C14" s="22">
        <f>(C12)+(C13)</f>
        <v>174800</v>
      </c>
    </row>
    <row r="15" spans="1:3" x14ac:dyDescent="0.2">
      <c r="A15" s="20" t="s">
        <v>403</v>
      </c>
      <c r="B15" s="22">
        <f>(B11)+(B14)</f>
        <v>87036.77</v>
      </c>
      <c r="C15" s="22">
        <f>(C11)+(C14)</f>
        <v>174800</v>
      </c>
    </row>
    <row r="16" spans="1:3" x14ac:dyDescent="0.2">
      <c r="A16" s="20" t="s">
        <v>223</v>
      </c>
      <c r="B16" s="21"/>
      <c r="C16" s="21"/>
    </row>
    <row r="17" spans="1:3" x14ac:dyDescent="0.2">
      <c r="A17" s="20" t="s">
        <v>224</v>
      </c>
      <c r="B17" s="21"/>
      <c r="C17" s="21"/>
    </row>
    <row r="18" spans="1:3" x14ac:dyDescent="0.2">
      <c r="A18" s="20" t="s">
        <v>225</v>
      </c>
      <c r="B18" s="19"/>
      <c r="C18" s="19">
        <v>0</v>
      </c>
    </row>
    <row r="19" spans="1:3" x14ac:dyDescent="0.2">
      <c r="A19" s="20" t="s">
        <v>226</v>
      </c>
      <c r="B19" s="22">
        <f>(B17)+(B18)</f>
        <v>0</v>
      </c>
      <c r="C19" s="22">
        <f>(C17)+(C18)</f>
        <v>0</v>
      </c>
    </row>
    <row r="20" spans="1:3" x14ac:dyDescent="0.2">
      <c r="A20" s="20" t="s">
        <v>709</v>
      </c>
      <c r="B20" s="49">
        <v>35000</v>
      </c>
      <c r="C20" s="49"/>
    </row>
    <row r="21" spans="1:3" x14ac:dyDescent="0.2">
      <c r="A21" s="20" t="s">
        <v>227</v>
      </c>
      <c r="B21" s="21"/>
      <c r="C21" s="21"/>
    </row>
    <row r="22" spans="1:3" x14ac:dyDescent="0.2">
      <c r="A22" s="20" t="s">
        <v>451</v>
      </c>
      <c r="B22" s="21">
        <v>8.84</v>
      </c>
      <c r="C22" s="21">
        <v>100</v>
      </c>
    </row>
    <row r="23" spans="1:3" x14ac:dyDescent="0.2">
      <c r="A23" s="20" t="s">
        <v>636</v>
      </c>
      <c r="B23" s="21"/>
    </row>
    <row r="24" spans="1:3" x14ac:dyDescent="0.2">
      <c r="A24" s="20" t="s">
        <v>710</v>
      </c>
      <c r="B24" s="19">
        <v>5000</v>
      </c>
      <c r="C24" s="19">
        <v>5000</v>
      </c>
    </row>
    <row r="25" spans="1:3" x14ac:dyDescent="0.2">
      <c r="A25" s="20" t="s">
        <v>228</v>
      </c>
      <c r="B25" s="22">
        <f>SUM(B22:B24)</f>
        <v>5008.84</v>
      </c>
      <c r="C25" s="22">
        <f>SUM(C22:C24)</f>
        <v>5100</v>
      </c>
    </row>
    <row r="26" spans="1:3" x14ac:dyDescent="0.2">
      <c r="A26" s="20" t="s">
        <v>229</v>
      </c>
      <c r="B26" s="22">
        <f>((B16)+(B19))+(B25)</f>
        <v>5008.84</v>
      </c>
      <c r="C26" s="22">
        <f>((C16)+(C19))+(C25)</f>
        <v>5100</v>
      </c>
    </row>
    <row r="27" spans="1:3" x14ac:dyDescent="0.2">
      <c r="A27" s="20"/>
      <c r="B27" s="19"/>
      <c r="C27" s="19"/>
    </row>
    <row r="28" spans="1:3" x14ac:dyDescent="0.2">
      <c r="A28" s="20"/>
      <c r="B28" s="19"/>
      <c r="C28" s="19"/>
    </row>
    <row r="29" spans="1:3" x14ac:dyDescent="0.2">
      <c r="A29" s="20" t="s">
        <v>230</v>
      </c>
      <c r="B29" s="22">
        <f>B10+B15+B20+B26</f>
        <v>198375.84</v>
      </c>
      <c r="C29" s="22">
        <f>(((((C7)+(C10))+(C15))+(C26))+(C27))+(C28)</f>
        <v>338900</v>
      </c>
    </row>
    <row r="30" spans="1:3" x14ac:dyDescent="0.2">
      <c r="A30" s="20" t="s">
        <v>1</v>
      </c>
      <c r="B30" s="22"/>
      <c r="C30" s="22">
        <f>C29</f>
        <v>338900</v>
      </c>
    </row>
    <row r="31" spans="1:3" x14ac:dyDescent="0.2">
      <c r="A31" s="20" t="s">
        <v>2</v>
      </c>
      <c r="B31" s="22">
        <f>B29</f>
        <v>198375.84</v>
      </c>
      <c r="C31" s="85">
        <f>(C30)-(0)</f>
        <v>338900</v>
      </c>
    </row>
    <row r="32" spans="1:3" x14ac:dyDescent="0.2">
      <c r="A32" s="20" t="s">
        <v>244</v>
      </c>
      <c r="B32" s="21"/>
      <c r="C32" s="21"/>
    </row>
    <row r="33" spans="1:3" x14ac:dyDescent="0.2">
      <c r="A33" s="20" t="s">
        <v>275</v>
      </c>
      <c r="B33" s="21"/>
      <c r="C33" s="21"/>
    </row>
    <row r="34" spans="1:3" x14ac:dyDescent="0.2">
      <c r="A34" s="20" t="s">
        <v>276</v>
      </c>
      <c r="B34" s="21"/>
      <c r="C34" s="21"/>
    </row>
    <row r="35" spans="1:3" x14ac:dyDescent="0.2">
      <c r="A35" s="20" t="s">
        <v>277</v>
      </c>
      <c r="B35" s="21"/>
      <c r="C35" s="21"/>
    </row>
    <row r="36" spans="1:3" x14ac:dyDescent="0.2">
      <c r="A36" s="20" t="s">
        <v>425</v>
      </c>
      <c r="B36" s="21"/>
      <c r="C36" s="21"/>
    </row>
    <row r="37" spans="1:3" x14ac:dyDescent="0.2">
      <c r="A37" s="20" t="s">
        <v>436</v>
      </c>
      <c r="B37" s="163">
        <f>19903.8</f>
        <v>19903.8</v>
      </c>
      <c r="C37" s="19">
        <v>35000</v>
      </c>
    </row>
    <row r="38" spans="1:3" x14ac:dyDescent="0.2">
      <c r="A38" s="20" t="s">
        <v>432</v>
      </c>
      <c r="B38" s="83">
        <v>2295</v>
      </c>
      <c r="C38">
        <v>4137.12</v>
      </c>
    </row>
    <row r="39" spans="1:3" x14ac:dyDescent="0.2">
      <c r="A39" s="20" t="s">
        <v>556</v>
      </c>
      <c r="B39" s="19">
        <v>10096.200000000001</v>
      </c>
      <c r="C39" s="19">
        <v>17000</v>
      </c>
    </row>
    <row r="40" spans="1:3" x14ac:dyDescent="0.2">
      <c r="A40" s="20" t="s">
        <v>597</v>
      </c>
      <c r="B40" s="19">
        <v>-158.83000000000001</v>
      </c>
      <c r="C40" s="19"/>
    </row>
    <row r="41" spans="1:3" x14ac:dyDescent="0.2">
      <c r="A41" s="20" t="s">
        <v>550</v>
      </c>
      <c r="B41" s="140">
        <v>19600.62</v>
      </c>
      <c r="C41" s="19">
        <v>21091.200000000001</v>
      </c>
    </row>
    <row r="42" spans="1:3" x14ac:dyDescent="0.2">
      <c r="A42" s="20" t="s">
        <v>427</v>
      </c>
      <c r="B42" s="140">
        <v>2790.9</v>
      </c>
      <c r="C42" s="19">
        <v>3080</v>
      </c>
    </row>
    <row r="43" spans="1:3" x14ac:dyDescent="0.2">
      <c r="A43" s="20" t="s">
        <v>608</v>
      </c>
      <c r="B43" s="140">
        <v>1059.94</v>
      </c>
      <c r="C43" s="19"/>
    </row>
    <row r="44" spans="1:3" x14ac:dyDescent="0.2">
      <c r="A44" s="20" t="s">
        <v>488</v>
      </c>
      <c r="B44" s="140">
        <v>1115.3900000000001</v>
      </c>
      <c r="C44" s="19">
        <v>5000</v>
      </c>
    </row>
    <row r="45" spans="1:3" ht="14.5" customHeight="1" x14ac:dyDescent="0.2">
      <c r="A45" s="20" t="s">
        <v>499</v>
      </c>
      <c r="B45" s="19"/>
      <c r="C45" s="19">
        <v>0</v>
      </c>
    </row>
    <row r="46" spans="1:3" ht="14.5" customHeight="1" x14ac:dyDescent="0.2">
      <c r="A46" s="20" t="s">
        <v>648</v>
      </c>
      <c r="B46" s="19">
        <v>700</v>
      </c>
      <c r="C46" s="19">
        <v>1300</v>
      </c>
    </row>
    <row r="47" spans="1:3" x14ac:dyDescent="0.2">
      <c r="A47" s="20" t="s">
        <v>443</v>
      </c>
      <c r="B47" s="19"/>
      <c r="C47" s="19"/>
    </row>
    <row r="48" spans="1:3" ht="11.5" customHeight="1" x14ac:dyDescent="0.2">
      <c r="A48" s="20"/>
      <c r="B48" s="19"/>
      <c r="C48" s="19"/>
    </row>
    <row r="49" spans="1:6" x14ac:dyDescent="0.2">
      <c r="A49" s="20" t="s">
        <v>426</v>
      </c>
      <c r="B49" s="22">
        <f>SUM(B37:B48)</f>
        <v>57403.02</v>
      </c>
      <c r="C49" s="22">
        <f>SUM(C36:C48)</f>
        <v>86608.320000000007</v>
      </c>
    </row>
    <row r="50" spans="1:6" x14ac:dyDescent="0.2">
      <c r="A50" s="20" t="s">
        <v>278</v>
      </c>
      <c r="B50" s="22">
        <f>(B35)+(B49)</f>
        <v>57403.02</v>
      </c>
      <c r="C50" s="22">
        <f>(C35)+(C49)</f>
        <v>86608.320000000007</v>
      </c>
    </row>
    <row r="51" spans="1:6" x14ac:dyDescent="0.2">
      <c r="A51" s="20" t="s">
        <v>279</v>
      </c>
      <c r="B51" s="21"/>
      <c r="C51" s="21"/>
    </row>
    <row r="52" spans="1:6" x14ac:dyDescent="0.2">
      <c r="A52" s="20" t="s">
        <v>280</v>
      </c>
      <c r="B52" s="140">
        <v>9075.1200000000008</v>
      </c>
      <c r="C52" s="19">
        <v>15621.72</v>
      </c>
    </row>
    <row r="53" spans="1:6" x14ac:dyDescent="0.2">
      <c r="A53" s="20" t="s">
        <v>542</v>
      </c>
      <c r="B53" s="140"/>
      <c r="C53" s="19">
        <v>2311.1999999999998</v>
      </c>
    </row>
    <row r="54" spans="1:6" x14ac:dyDescent="0.2">
      <c r="A54" s="20" t="s">
        <v>444</v>
      </c>
      <c r="B54" s="140">
        <v>1394.46</v>
      </c>
      <c r="C54" s="19">
        <v>1326.05</v>
      </c>
    </row>
    <row r="55" spans="1:6" x14ac:dyDescent="0.2">
      <c r="A55" s="20" t="s">
        <v>379</v>
      </c>
      <c r="B55" s="140">
        <v>68.03</v>
      </c>
      <c r="C55" s="19">
        <v>1700</v>
      </c>
    </row>
    <row r="56" spans="1:6" x14ac:dyDescent="0.2">
      <c r="A56" s="20"/>
      <c r="B56" s="19"/>
    </row>
    <row r="57" spans="1:6" x14ac:dyDescent="0.2">
      <c r="A57" s="20" t="s">
        <v>281</v>
      </c>
      <c r="B57" s="22">
        <f>SUM(B52:B56)</f>
        <v>10537.610000000002</v>
      </c>
      <c r="C57" s="22">
        <f>SUM(C52:C55)</f>
        <v>20958.969999999998</v>
      </c>
    </row>
    <row r="58" spans="1:6" x14ac:dyDescent="0.2">
      <c r="A58" s="20" t="s">
        <v>489</v>
      </c>
      <c r="B58" s="21"/>
      <c r="C58" s="21"/>
    </row>
    <row r="59" spans="1:6" x14ac:dyDescent="0.2">
      <c r="A59" s="20" t="s">
        <v>490</v>
      </c>
      <c r="B59" s="131">
        <v>9934.49</v>
      </c>
      <c r="C59" s="19">
        <v>22144.2</v>
      </c>
    </row>
    <row r="60" spans="1:6" x14ac:dyDescent="0.2">
      <c r="A60" s="20" t="s">
        <v>491</v>
      </c>
      <c r="B60" s="131">
        <v>6092.98</v>
      </c>
      <c r="C60" s="19">
        <v>11072.1</v>
      </c>
    </row>
    <row r="61" spans="1:6" x14ac:dyDescent="0.2">
      <c r="A61" s="20" t="s">
        <v>492</v>
      </c>
      <c r="B61" s="19">
        <v>2251.0100000000002</v>
      </c>
      <c r="C61" s="19">
        <v>2541.0500000000002</v>
      </c>
    </row>
    <row r="62" spans="1:6" x14ac:dyDescent="0.2">
      <c r="A62" s="20" t="s">
        <v>282</v>
      </c>
      <c r="B62" s="19"/>
      <c r="C62" s="19"/>
    </row>
    <row r="63" spans="1:6" x14ac:dyDescent="0.2">
      <c r="A63" s="20" t="s">
        <v>596</v>
      </c>
      <c r="B63" s="19"/>
      <c r="C63" s="19">
        <v>1200</v>
      </c>
    </row>
    <row r="64" spans="1:6" x14ac:dyDescent="0.2">
      <c r="A64" s="20" t="s">
        <v>393</v>
      </c>
      <c r="B64" s="19">
        <v>132.4</v>
      </c>
      <c r="C64" s="19">
        <v>1000</v>
      </c>
      <c r="F64" s="68"/>
    </row>
    <row r="65" spans="1:5" x14ac:dyDescent="0.2">
      <c r="A65" s="20" t="s">
        <v>474</v>
      </c>
      <c r="B65" s="22">
        <f>SUM(B59:B64)</f>
        <v>18410.88</v>
      </c>
      <c r="C65" s="22">
        <f>SUM(C59:C64)</f>
        <v>37957.350000000006</v>
      </c>
    </row>
    <row r="66" spans="1:5" x14ac:dyDescent="0.2">
      <c r="B66" s="21"/>
      <c r="C66" s="21"/>
    </row>
    <row r="67" spans="1:5" x14ac:dyDescent="0.2">
      <c r="A67" s="20"/>
      <c r="B67" s="49"/>
      <c r="C67" s="49"/>
    </row>
    <row r="68" spans="1:5" x14ac:dyDescent="0.2">
      <c r="A68" s="20" t="s">
        <v>283</v>
      </c>
      <c r="B68" s="21"/>
      <c r="C68" s="21"/>
    </row>
    <row r="69" spans="1:5" x14ac:dyDescent="0.2">
      <c r="A69" s="20" t="s">
        <v>284</v>
      </c>
      <c r="B69" s="19">
        <v>849.35</v>
      </c>
      <c r="C69" s="19">
        <v>550</v>
      </c>
    </row>
    <row r="70" spans="1:5" x14ac:dyDescent="0.2">
      <c r="A70" s="20" t="s">
        <v>380</v>
      </c>
      <c r="B70" s="19">
        <v>1690.76</v>
      </c>
      <c r="C70" s="19">
        <v>2485</v>
      </c>
    </row>
    <row r="71" spans="1:5" x14ac:dyDescent="0.2">
      <c r="A71" s="20" t="s">
        <v>604</v>
      </c>
      <c r="B71" s="19"/>
      <c r="C71" s="19"/>
    </row>
    <row r="72" spans="1:5" x14ac:dyDescent="0.2">
      <c r="A72" s="20" t="s">
        <v>612</v>
      </c>
      <c r="B72" s="19">
        <v>147.82</v>
      </c>
      <c r="C72" s="19"/>
    </row>
    <row r="73" spans="1:5" x14ac:dyDescent="0.2">
      <c r="A73" s="20" t="s">
        <v>603</v>
      </c>
      <c r="B73" s="19">
        <v>244.72</v>
      </c>
      <c r="C73" s="19"/>
    </row>
    <row r="74" spans="1:5" x14ac:dyDescent="0.2">
      <c r="A74" s="20" t="s">
        <v>381</v>
      </c>
      <c r="B74" s="19"/>
      <c r="C74" s="19"/>
    </row>
    <row r="75" spans="1:5" x14ac:dyDescent="0.2">
      <c r="A75" s="20" t="s">
        <v>285</v>
      </c>
      <c r="B75" s="22">
        <f>SUM(B69:B74)</f>
        <v>2932.65</v>
      </c>
      <c r="C75" s="22">
        <f>(((C68)+(C69))+(C70))+(C74)</f>
        <v>3035</v>
      </c>
    </row>
    <row r="76" spans="1:5" x14ac:dyDescent="0.2">
      <c r="A76" s="20" t="s">
        <v>286</v>
      </c>
      <c r="B76" s="22">
        <f>B50+B57+B65+B75</f>
        <v>89284.160000000003</v>
      </c>
      <c r="C76" s="22">
        <f>((((C34)+(C50))+(C57))+(C65))+(C75)</f>
        <v>148559.64000000001</v>
      </c>
    </row>
    <row r="77" spans="1:5" x14ac:dyDescent="0.2">
      <c r="A77" s="20" t="s">
        <v>382</v>
      </c>
      <c r="B77" s="21"/>
      <c r="C77" s="21"/>
    </row>
    <row r="78" spans="1:5" x14ac:dyDescent="0.2">
      <c r="A78" s="20" t="s">
        <v>383</v>
      </c>
      <c r="B78" s="21"/>
      <c r="C78" s="21"/>
    </row>
    <row r="79" spans="1:5" x14ac:dyDescent="0.2">
      <c r="A79" s="20" t="s">
        <v>384</v>
      </c>
      <c r="B79" s="19">
        <v>0</v>
      </c>
      <c r="C79" s="19">
        <v>4000</v>
      </c>
      <c r="E79" s="14"/>
    </row>
    <row r="80" spans="1:5" x14ac:dyDescent="0.2">
      <c r="A80" s="20" t="s">
        <v>385</v>
      </c>
      <c r="B80" s="22">
        <f>(B78)+(B79)</f>
        <v>0</v>
      </c>
      <c r="C80" s="22">
        <f>(C78)+(C79)</f>
        <v>4000</v>
      </c>
    </row>
    <row r="81" spans="1:5" x14ac:dyDescent="0.2">
      <c r="A81" s="20" t="s">
        <v>430</v>
      </c>
      <c r="B81" s="19">
        <v>65440</v>
      </c>
      <c r="C81" s="19"/>
    </row>
    <row r="82" spans="1:5" ht="18.5" customHeight="1" x14ac:dyDescent="0.2">
      <c r="A82" s="20" t="s">
        <v>522</v>
      </c>
      <c r="B82" s="19"/>
      <c r="C82" s="19"/>
    </row>
    <row r="83" spans="1:5" x14ac:dyDescent="0.2">
      <c r="A83" s="20" t="s">
        <v>386</v>
      </c>
      <c r="B83" s="19">
        <v>52500</v>
      </c>
      <c r="C83" s="19">
        <v>90000</v>
      </c>
    </row>
    <row r="84" spans="1:5" x14ac:dyDescent="0.2">
      <c r="A84" s="20" t="s">
        <v>543</v>
      </c>
      <c r="B84" s="19"/>
      <c r="C84" s="19"/>
    </row>
    <row r="85" spans="1:5" x14ac:dyDescent="0.2">
      <c r="A85" s="20" t="s">
        <v>387</v>
      </c>
      <c r="B85" s="21"/>
      <c r="C85" s="21"/>
    </row>
    <row r="86" spans="1:5" x14ac:dyDescent="0.2">
      <c r="A86" s="20" t="s">
        <v>595</v>
      </c>
      <c r="B86" s="21"/>
      <c r="C86" s="21"/>
    </row>
    <row r="87" spans="1:5" x14ac:dyDescent="0.2">
      <c r="A87" s="20" t="s">
        <v>405</v>
      </c>
      <c r="B87" s="19"/>
      <c r="C87" s="19">
        <v>2000</v>
      </c>
    </row>
    <row r="88" spans="1:5" x14ac:dyDescent="0.2">
      <c r="A88" s="20" t="s">
        <v>406</v>
      </c>
      <c r="B88" s="19"/>
      <c r="C88" s="19">
        <v>2000</v>
      </c>
      <c r="E88" s="14"/>
    </row>
    <row r="89" spans="1:5" x14ac:dyDescent="0.2">
      <c r="A89" s="20" t="s">
        <v>407</v>
      </c>
      <c r="B89" s="19">
        <v>58.29</v>
      </c>
      <c r="C89" s="19">
        <v>1000</v>
      </c>
    </row>
    <row r="90" spans="1:5" x14ac:dyDescent="0.2">
      <c r="A90" s="20" t="s">
        <v>388</v>
      </c>
      <c r="B90" s="22">
        <f>(((B85)+(B87))+(B88))+(B89)</f>
        <v>58.29</v>
      </c>
      <c r="C90" s="22">
        <f>SUM(C86:C89)</f>
        <v>5000</v>
      </c>
    </row>
    <row r="91" spans="1:5" x14ac:dyDescent="0.2">
      <c r="A91" s="20" t="s">
        <v>389</v>
      </c>
      <c r="B91" s="22">
        <f>(((((B77)+(B80))+(B81))+(B82))+(B83))+B84+(B90)</f>
        <v>117998.29</v>
      </c>
      <c r="C91" s="22">
        <f>(((((C77)+(C80))+(C81))+(C82))+(C83))+(C90)</f>
        <v>99000</v>
      </c>
    </row>
    <row r="92" spans="1:5" x14ac:dyDescent="0.2">
      <c r="A92" s="20" t="s">
        <v>287</v>
      </c>
      <c r="B92" s="21"/>
      <c r="C92" s="21"/>
    </row>
    <row r="93" spans="1:5" x14ac:dyDescent="0.2">
      <c r="A93" s="20" t="s">
        <v>288</v>
      </c>
      <c r="B93" s="21"/>
      <c r="C93" s="21"/>
    </row>
    <row r="94" spans="1:5" x14ac:dyDescent="0.2">
      <c r="A94" s="20" t="s">
        <v>289</v>
      </c>
      <c r="B94" s="19"/>
      <c r="C94" s="19"/>
    </row>
    <row r="95" spans="1:5" x14ac:dyDescent="0.2">
      <c r="A95" s="20" t="s">
        <v>290</v>
      </c>
      <c r="B95" s="29"/>
      <c r="C95" s="19">
        <v>0</v>
      </c>
    </row>
    <row r="96" spans="1:5" x14ac:dyDescent="0.2">
      <c r="A96" s="20" t="s">
        <v>291</v>
      </c>
      <c r="B96" s="19">
        <v>496.95</v>
      </c>
      <c r="C96" s="19">
        <v>900</v>
      </c>
    </row>
    <row r="97" spans="1:8" x14ac:dyDescent="0.2">
      <c r="A97" s="20" t="s">
        <v>473</v>
      </c>
      <c r="B97" s="19">
        <v>141.74</v>
      </c>
      <c r="C97" s="19">
        <v>100</v>
      </c>
    </row>
    <row r="98" spans="1:8" x14ac:dyDescent="0.2">
      <c r="A98" s="20" t="s">
        <v>292</v>
      </c>
      <c r="B98" s="19">
        <v>349.6</v>
      </c>
      <c r="C98" s="19">
        <v>700</v>
      </c>
    </row>
    <row r="99" spans="1:8" x14ac:dyDescent="0.2">
      <c r="A99" s="20" t="s">
        <v>293</v>
      </c>
      <c r="B99" s="19"/>
      <c r="C99" s="19"/>
    </row>
    <row r="100" spans="1:8" x14ac:dyDescent="0.2">
      <c r="A100" s="20" t="s">
        <v>294</v>
      </c>
      <c r="B100" s="86"/>
      <c r="C100" s="19">
        <v>2000</v>
      </c>
    </row>
    <row r="101" spans="1:8" x14ac:dyDescent="0.2">
      <c r="A101" s="20" t="s">
        <v>295</v>
      </c>
      <c r="B101" s="140">
        <v>3047.4</v>
      </c>
      <c r="C101" s="19">
        <v>6000</v>
      </c>
    </row>
    <row r="102" spans="1:8" x14ac:dyDescent="0.2">
      <c r="A102" s="20" t="s">
        <v>408</v>
      </c>
      <c r="B102" s="140">
        <v>8800</v>
      </c>
      <c r="C102" s="19">
        <v>1000</v>
      </c>
    </row>
    <row r="103" spans="1:8" x14ac:dyDescent="0.2">
      <c r="A103" s="20" t="s">
        <v>296</v>
      </c>
      <c r="B103" s="19">
        <v>600</v>
      </c>
      <c r="C103" s="19">
        <v>615</v>
      </c>
    </row>
    <row r="104" spans="1:8" x14ac:dyDescent="0.2">
      <c r="A104" s="20" t="s">
        <v>297</v>
      </c>
      <c r="B104" s="86">
        <v>89.55</v>
      </c>
      <c r="C104" s="19">
        <v>2000</v>
      </c>
    </row>
    <row r="105" spans="1:8" x14ac:dyDescent="0.2">
      <c r="A105" s="20" t="s">
        <v>493</v>
      </c>
      <c r="B105" s="19">
        <v>1082</v>
      </c>
      <c r="C105" s="19">
        <v>1050</v>
      </c>
    </row>
    <row r="106" spans="1:8" x14ac:dyDescent="0.2">
      <c r="A106" s="20" t="s">
        <v>415</v>
      </c>
      <c r="B106" s="19"/>
      <c r="C106" s="19">
        <v>3000</v>
      </c>
    </row>
    <row r="107" spans="1:8" x14ac:dyDescent="0.2">
      <c r="A107" s="20" t="s">
        <v>651</v>
      </c>
      <c r="B107" s="19"/>
      <c r="C107" s="19">
        <v>3204</v>
      </c>
    </row>
    <row r="108" spans="1:8" x14ac:dyDescent="0.2">
      <c r="A108" s="20" t="s">
        <v>494</v>
      </c>
      <c r="B108" s="19">
        <v>1225</v>
      </c>
      <c r="C108" s="19">
        <v>1050</v>
      </c>
    </row>
    <row r="109" spans="1:8" x14ac:dyDescent="0.2">
      <c r="A109" s="20" t="s">
        <v>545</v>
      </c>
      <c r="B109" s="19"/>
      <c r="C109" s="19"/>
    </row>
    <row r="110" spans="1:8" x14ac:dyDescent="0.2">
      <c r="A110" s="20" t="s">
        <v>298</v>
      </c>
      <c r="B110" s="19"/>
      <c r="C110" s="19"/>
    </row>
    <row r="111" spans="1:8" x14ac:dyDescent="0.2">
      <c r="A111" s="20" t="s">
        <v>299</v>
      </c>
      <c r="B111" s="22">
        <f>SUM(B94:B110)</f>
        <v>15832.24</v>
      </c>
      <c r="C111" s="22">
        <f>SUM(C94:C110)</f>
        <v>21619</v>
      </c>
      <c r="H111" s="68"/>
    </row>
    <row r="112" spans="1:8" x14ac:dyDescent="0.2">
      <c r="A112" s="20" t="s">
        <v>300</v>
      </c>
      <c r="B112" s="21"/>
      <c r="C112" s="21"/>
    </row>
    <row r="113" spans="1:3" x14ac:dyDescent="0.2">
      <c r="A113" s="20" t="s">
        <v>301</v>
      </c>
      <c r="B113" s="19">
        <v>1773.37</v>
      </c>
      <c r="C113" s="19">
        <v>5000</v>
      </c>
    </row>
    <row r="114" spans="1:3" x14ac:dyDescent="0.2">
      <c r="A114" s="20" t="s">
        <v>390</v>
      </c>
      <c r="B114" s="19">
        <v>14333.6</v>
      </c>
      <c r="C114" s="19">
        <v>14858</v>
      </c>
    </row>
    <row r="115" spans="1:3" x14ac:dyDescent="0.2">
      <c r="A115" s="20" t="s">
        <v>391</v>
      </c>
      <c r="B115" s="19">
        <v>51708.23</v>
      </c>
      <c r="C115" s="19">
        <v>31394.080000000002</v>
      </c>
    </row>
    <row r="116" spans="1:3" x14ac:dyDescent="0.2">
      <c r="A116" s="20" t="s">
        <v>409</v>
      </c>
      <c r="B116" s="19">
        <v>750</v>
      </c>
      <c r="C116" s="19">
        <v>10000</v>
      </c>
    </row>
    <row r="117" spans="1:3" x14ac:dyDescent="0.2">
      <c r="A117" s="20" t="s">
        <v>302</v>
      </c>
      <c r="B117" s="19"/>
      <c r="C117" s="19">
        <v>5000</v>
      </c>
    </row>
    <row r="118" spans="1:3" x14ac:dyDescent="0.2">
      <c r="A118" s="20" t="s">
        <v>392</v>
      </c>
      <c r="B118" s="19"/>
      <c r="C118" s="19">
        <v>500</v>
      </c>
    </row>
    <row r="119" spans="1:3" x14ac:dyDescent="0.2">
      <c r="A119" s="20" t="s">
        <v>477</v>
      </c>
      <c r="B119" s="19"/>
      <c r="C119" s="19"/>
    </row>
    <row r="120" spans="1:3" x14ac:dyDescent="0.2">
      <c r="A120" s="20" t="s">
        <v>738</v>
      </c>
      <c r="B120" s="19">
        <v>3053.24</v>
      </c>
      <c r="C120" s="19"/>
    </row>
    <row r="121" spans="1:3" x14ac:dyDescent="0.2">
      <c r="A121" s="20" t="s">
        <v>439</v>
      </c>
      <c r="B121" s="19"/>
      <c r="C121" s="19"/>
    </row>
    <row r="122" spans="1:3" x14ac:dyDescent="0.2">
      <c r="A122" s="20" t="s">
        <v>317</v>
      </c>
      <c r="B122" s="21"/>
      <c r="C122" s="21"/>
    </row>
    <row r="123" spans="1:3" x14ac:dyDescent="0.2">
      <c r="A123" s="20" t="s">
        <v>318</v>
      </c>
      <c r="B123" s="19">
        <v>1353.04</v>
      </c>
      <c r="C123" s="19">
        <v>3000</v>
      </c>
    </row>
    <row r="124" spans="1:3" x14ac:dyDescent="0.2">
      <c r="A124" s="20" t="s">
        <v>452</v>
      </c>
      <c r="B124" s="19"/>
      <c r="C124" s="19"/>
    </row>
    <row r="125" spans="1:3" x14ac:dyDescent="0.2">
      <c r="A125" s="20" t="s">
        <v>416</v>
      </c>
      <c r="B125" s="19">
        <v>3610</v>
      </c>
      <c r="C125" s="19">
        <v>5000</v>
      </c>
    </row>
    <row r="126" spans="1:3" x14ac:dyDescent="0.2">
      <c r="A126" s="20" t="s">
        <v>433</v>
      </c>
      <c r="B126" s="22">
        <f>SUM(B123:B125)</f>
        <v>4963.04</v>
      </c>
      <c r="C126" s="22">
        <f>((C122)+(C123))+(C125)</f>
        <v>8000</v>
      </c>
    </row>
    <row r="127" spans="1:3" x14ac:dyDescent="0.2">
      <c r="A127" s="20"/>
      <c r="B127" s="19"/>
      <c r="C127" s="19"/>
    </row>
    <row r="128" spans="1:3" x14ac:dyDescent="0.2">
      <c r="A128" s="20" t="s">
        <v>401</v>
      </c>
      <c r="B128" s="21"/>
      <c r="C128" s="21"/>
    </row>
    <row r="129" spans="1:3" x14ac:dyDescent="0.2">
      <c r="A129" s="20" t="s">
        <v>418</v>
      </c>
      <c r="B129" s="19">
        <v>10825</v>
      </c>
      <c r="C129" s="19">
        <v>7500</v>
      </c>
    </row>
    <row r="130" spans="1:3" x14ac:dyDescent="0.2">
      <c r="A130" s="20" t="s">
        <v>434</v>
      </c>
      <c r="B130" s="22">
        <f>(B128)+(B129)</f>
        <v>10825</v>
      </c>
      <c r="C130" s="22">
        <f>(C128)+(C129)</f>
        <v>7500</v>
      </c>
    </row>
    <row r="131" spans="1:3" x14ac:dyDescent="0.2">
      <c r="A131" s="20" t="s">
        <v>303</v>
      </c>
      <c r="B131" s="85">
        <f>B113+B114+B115+B116+B117+B118+B120+B126+B129</f>
        <v>87406.48000000001</v>
      </c>
      <c r="C131" s="85">
        <f>C113+C114+C115+C116+C117+C118+C119+C121+C126+C129</f>
        <v>82252.08</v>
      </c>
    </row>
    <row r="132" spans="1:3" x14ac:dyDescent="0.2">
      <c r="A132" s="20" t="s">
        <v>304</v>
      </c>
      <c r="B132" s="22">
        <f>((B92)+(B111))+(B131)</f>
        <v>103238.72000000002</v>
      </c>
      <c r="C132" s="22">
        <f>((C92)+(C111))+(C131)</f>
        <v>103871.08</v>
      </c>
    </row>
    <row r="133" spans="1:3" x14ac:dyDescent="0.2">
      <c r="A133" s="20" t="s">
        <v>305</v>
      </c>
      <c r="B133" s="22">
        <f>(((B33)+(B76))+(B91))+(B132)</f>
        <v>310521.17000000004</v>
      </c>
      <c r="C133" s="22">
        <f>(((C33)+(C76))+(C91))+(C132)</f>
        <v>351430.72000000003</v>
      </c>
    </row>
    <row r="134" spans="1:3" x14ac:dyDescent="0.2">
      <c r="A134" s="20" t="s">
        <v>306</v>
      </c>
      <c r="B134" s="85">
        <f>B133</f>
        <v>310521.17000000004</v>
      </c>
      <c r="C134" s="22">
        <f>C133</f>
        <v>351430.72000000003</v>
      </c>
    </row>
    <row r="135" spans="1:3" x14ac:dyDescent="0.2">
      <c r="A135" s="20" t="s">
        <v>307</v>
      </c>
      <c r="B135" s="22">
        <f>B31-B134</f>
        <v>-112145.33000000005</v>
      </c>
      <c r="C135" s="22">
        <f>(C31)-(C134)</f>
        <v>-12530.72000000003</v>
      </c>
    </row>
    <row r="136" spans="1:3" x14ac:dyDescent="0.2">
      <c r="A136" s="20" t="s">
        <v>3</v>
      </c>
      <c r="B136" s="137">
        <f>(B135)+(0)</f>
        <v>-112145.33000000005</v>
      </c>
      <c r="C136" s="22">
        <f>(C135)+(0)</f>
        <v>-12530.72000000003</v>
      </c>
    </row>
    <row r="137" spans="1:3" x14ac:dyDescent="0.2">
      <c r="A137" s="20"/>
      <c r="B137" s="20"/>
      <c r="C137" s="21"/>
    </row>
    <row r="140" spans="1:3" x14ac:dyDescent="0.2">
      <c r="A140" t="s">
        <v>529</v>
      </c>
      <c r="B140" s="14">
        <f>'Camp YTD Budget  4'!C195</f>
        <v>5157.4499999999643</v>
      </c>
    </row>
    <row r="141" spans="1:3" x14ac:dyDescent="0.2">
      <c r="B141" s="14"/>
    </row>
    <row r="142" spans="1:3" x14ac:dyDescent="0.2">
      <c r="A142" t="s">
        <v>531</v>
      </c>
      <c r="B142" s="14">
        <f>'Camp YTD Budget  4'!B198</f>
        <v>3862.78</v>
      </c>
    </row>
    <row r="143" spans="1:3" x14ac:dyDescent="0.2">
      <c r="B143" s="14"/>
    </row>
    <row r="144" spans="1:3" x14ac:dyDescent="0.2">
      <c r="B144" s="14"/>
    </row>
    <row r="145" spans="1:2" x14ac:dyDescent="0.2">
      <c r="B145" s="14"/>
    </row>
    <row r="146" spans="1:2" x14ac:dyDescent="0.2">
      <c r="A146" t="s">
        <v>521</v>
      </c>
      <c r="B146" s="14">
        <f>'Camp YTD Budget  4'!B201</f>
        <v>0</v>
      </c>
    </row>
    <row r="147" spans="1:2" x14ac:dyDescent="0.2">
      <c r="A147" t="s">
        <v>527</v>
      </c>
      <c r="B147" s="14"/>
    </row>
    <row r="148" spans="1:2" x14ac:dyDescent="0.2">
      <c r="A148" t="s">
        <v>528</v>
      </c>
      <c r="B148" s="14">
        <v>24978.84</v>
      </c>
    </row>
    <row r="149" spans="1:2" x14ac:dyDescent="0.2">
      <c r="B149" s="14"/>
    </row>
    <row r="150" spans="1:2" ht="16" thickBot="1" x14ac:dyDescent="0.25">
      <c r="A150" s="27" t="s">
        <v>442</v>
      </c>
      <c r="B150" s="136">
        <f>SUM(B136:B148)</f>
        <v>-78146.260000000082</v>
      </c>
    </row>
    <row r="151" spans="1:2" ht="16" thickTop="1" x14ac:dyDescent="0.2">
      <c r="B151" s="14"/>
    </row>
    <row r="152" spans="1:2" x14ac:dyDescent="0.2">
      <c r="B152" s="14"/>
    </row>
    <row r="153" spans="1:2" x14ac:dyDescent="0.2">
      <c r="B153" s="14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1"/>
  <sheetViews>
    <sheetView zoomScaleNormal="100" workbookViewId="0">
      <pane ySplit="5" topLeftCell="A6" activePane="bottomLeft" state="frozen"/>
      <selection pane="bottomLeft" sqref="A1:C1"/>
    </sheetView>
  </sheetViews>
  <sheetFormatPr baseColWidth="10" defaultColWidth="8.83203125" defaultRowHeight="15" x14ac:dyDescent="0.2"/>
  <cols>
    <col min="1" max="1" width="52.33203125" customWidth="1"/>
    <col min="2" max="2" width="13.6640625" customWidth="1"/>
    <col min="3" max="3" width="18.6640625" customWidth="1"/>
    <col min="4" max="4" width="9.6640625" bestFit="1" customWidth="1"/>
    <col min="5" max="5" width="19" customWidth="1"/>
    <col min="6" max="6" width="16.5" style="133" customWidth="1"/>
    <col min="7" max="7" width="28" customWidth="1"/>
    <col min="10" max="10" width="10.5" bestFit="1" customWidth="1"/>
  </cols>
  <sheetData>
    <row r="1" spans="1:3" ht="18" x14ac:dyDescent="0.2">
      <c r="A1" s="318" t="s">
        <v>65</v>
      </c>
      <c r="B1" s="318"/>
      <c r="C1" s="319"/>
    </row>
    <row r="2" spans="1:3" ht="18" x14ac:dyDescent="0.2">
      <c r="A2" s="318" t="s">
        <v>649</v>
      </c>
      <c r="B2" s="318"/>
      <c r="C2" s="319"/>
    </row>
    <row r="3" spans="1:3" x14ac:dyDescent="0.2">
      <c r="A3" s="325" t="s">
        <v>751</v>
      </c>
      <c r="B3" s="325"/>
      <c r="C3" s="325"/>
    </row>
    <row r="4" spans="1:3" ht="3.5" customHeight="1" x14ac:dyDescent="0.2"/>
    <row r="5" spans="1:3" x14ac:dyDescent="0.2">
      <c r="A5" s="24"/>
      <c r="B5" s="23" t="s">
        <v>422</v>
      </c>
      <c r="C5" s="23" t="s">
        <v>422</v>
      </c>
    </row>
    <row r="6" spans="1:3" x14ac:dyDescent="0.2">
      <c r="A6" s="24"/>
      <c r="B6" s="123"/>
      <c r="C6" s="123"/>
    </row>
    <row r="7" spans="1:3" x14ac:dyDescent="0.2">
      <c r="A7" s="20" t="s">
        <v>0</v>
      </c>
      <c r="B7" s="21"/>
      <c r="C7" s="21"/>
    </row>
    <row r="8" spans="1:3" x14ac:dyDescent="0.2">
      <c r="A8" s="20" t="s">
        <v>231</v>
      </c>
      <c r="B8" s="21"/>
      <c r="C8" s="21"/>
    </row>
    <row r="9" spans="1:3" x14ac:dyDescent="0.2">
      <c r="A9" s="20" t="s">
        <v>232</v>
      </c>
      <c r="B9" s="21"/>
      <c r="C9" s="21"/>
    </row>
    <row r="10" spans="1:3" x14ac:dyDescent="0.2">
      <c r="A10" s="20" t="s">
        <v>233</v>
      </c>
      <c r="B10" s="19">
        <v>72693.22</v>
      </c>
      <c r="C10" s="19">
        <v>122000</v>
      </c>
    </row>
    <row r="11" spans="1:3" x14ac:dyDescent="0.2">
      <c r="A11" s="20" t="s">
        <v>234</v>
      </c>
      <c r="B11" s="19">
        <v>18362.3</v>
      </c>
      <c r="C11" s="19">
        <v>45000</v>
      </c>
    </row>
    <row r="12" spans="1:3" x14ac:dyDescent="0.2">
      <c r="A12" s="20" t="s">
        <v>482</v>
      </c>
      <c r="B12" s="19">
        <v>393.5</v>
      </c>
      <c r="C12" s="19">
        <v>5000</v>
      </c>
    </row>
    <row r="13" spans="1:3" x14ac:dyDescent="0.2">
      <c r="A13" s="20" t="s">
        <v>483</v>
      </c>
      <c r="B13" s="19"/>
      <c r="C13" s="19">
        <v>4500</v>
      </c>
    </row>
    <row r="14" spans="1:3" x14ac:dyDescent="0.2">
      <c r="B14" s="19"/>
      <c r="C14" s="19"/>
    </row>
    <row r="15" spans="1:3" x14ac:dyDescent="0.2">
      <c r="A15" s="20" t="s">
        <v>235</v>
      </c>
      <c r="B15" s="22">
        <f>SUM(B10:B14)</f>
        <v>91449.02</v>
      </c>
      <c r="C15" s="22">
        <f>SUM(C10:C14)</f>
        <v>176500</v>
      </c>
    </row>
    <row r="16" spans="1:3" x14ac:dyDescent="0.2">
      <c r="A16" s="20" t="s">
        <v>236</v>
      </c>
      <c r="B16" s="21"/>
      <c r="C16" s="21"/>
    </row>
    <row r="17" spans="1:3" x14ac:dyDescent="0.2">
      <c r="A17" s="20" t="s">
        <v>237</v>
      </c>
      <c r="B17" s="21"/>
      <c r="C17" s="21"/>
    </row>
    <row r="18" spans="1:3" x14ac:dyDescent="0.2">
      <c r="A18" s="20" t="s">
        <v>399</v>
      </c>
      <c r="B18" s="131">
        <v>20279.5</v>
      </c>
      <c r="C18" s="19">
        <v>25000</v>
      </c>
    </row>
    <row r="19" spans="1:3" x14ac:dyDescent="0.2">
      <c r="A19" s="20" t="s">
        <v>238</v>
      </c>
      <c r="B19" s="131">
        <v>6000</v>
      </c>
      <c r="C19" s="19">
        <v>5500</v>
      </c>
    </row>
    <row r="20" spans="1:3" x14ac:dyDescent="0.2">
      <c r="A20" s="20" t="s">
        <v>239</v>
      </c>
      <c r="B20" s="131">
        <v>15000</v>
      </c>
      <c r="C20" s="19">
        <v>25000</v>
      </c>
    </row>
    <row r="21" spans="1:3" x14ac:dyDescent="0.2">
      <c r="A21" s="20" t="s">
        <v>414</v>
      </c>
      <c r="B21" s="131">
        <v>3443</v>
      </c>
      <c r="C21" s="19">
        <v>5500</v>
      </c>
    </row>
    <row r="22" spans="1:3" x14ac:dyDescent="0.2">
      <c r="A22" s="20" t="s">
        <v>319</v>
      </c>
      <c r="B22" s="19"/>
      <c r="C22" s="19">
        <v>3000</v>
      </c>
    </row>
    <row r="23" spans="1:3" x14ac:dyDescent="0.2">
      <c r="A23" s="20" t="s">
        <v>320</v>
      </c>
      <c r="B23" s="19">
        <v>52500</v>
      </c>
      <c r="C23" s="19">
        <v>90000</v>
      </c>
    </row>
    <row r="24" spans="1:3" x14ac:dyDescent="0.2">
      <c r="A24" s="20" t="s">
        <v>484</v>
      </c>
      <c r="B24" s="19" t="s">
        <v>701</v>
      </c>
      <c r="C24" s="19">
        <v>1000</v>
      </c>
    </row>
    <row r="25" spans="1:3" x14ac:dyDescent="0.2">
      <c r="A25" s="20" t="s">
        <v>240</v>
      </c>
      <c r="B25" s="22">
        <f>SUM(B18:B24)</f>
        <v>97222.5</v>
      </c>
      <c r="C25" s="22">
        <f>SUM(C18:C24)</f>
        <v>155000</v>
      </c>
    </row>
    <row r="26" spans="1:3" x14ac:dyDescent="0.2">
      <c r="A26" s="20" t="s">
        <v>241</v>
      </c>
      <c r="B26" s="19">
        <v>10330.76</v>
      </c>
      <c r="C26" s="19">
        <v>1000</v>
      </c>
    </row>
    <row r="27" spans="1:3" ht="16.25" hidden="1" customHeight="1" x14ac:dyDescent="0.2">
      <c r="A27" s="20" t="s">
        <v>522</v>
      </c>
      <c r="B27" s="19"/>
      <c r="C27" s="19"/>
    </row>
    <row r="28" spans="1:3" hidden="1" x14ac:dyDescent="0.2">
      <c r="A28" s="20"/>
      <c r="B28" s="28"/>
      <c r="C28" s="19"/>
    </row>
    <row r="29" spans="1:3" x14ac:dyDescent="0.2">
      <c r="A29" s="20" t="s">
        <v>321</v>
      </c>
      <c r="B29" s="19"/>
      <c r="C29" s="19">
        <v>17500</v>
      </c>
    </row>
    <row r="30" spans="1:3" x14ac:dyDescent="0.2">
      <c r="A30" s="20" t="s">
        <v>619</v>
      </c>
      <c r="B30" s="19"/>
      <c r="C30" s="19"/>
    </row>
    <row r="31" spans="1:3" ht="18.75" customHeight="1" x14ac:dyDescent="0.2">
      <c r="A31" s="20" t="s">
        <v>558</v>
      </c>
      <c r="B31" s="19">
        <v>5619.23</v>
      </c>
      <c r="C31" s="19"/>
    </row>
    <row r="32" spans="1:3" x14ac:dyDescent="0.2">
      <c r="A32" s="20" t="s">
        <v>650</v>
      </c>
      <c r="B32" s="19"/>
      <c r="C32" s="19">
        <v>700</v>
      </c>
    </row>
    <row r="33" spans="1:3" x14ac:dyDescent="0.2">
      <c r="A33" s="20" t="s">
        <v>322</v>
      </c>
      <c r="B33" s="19">
        <v>1065.96</v>
      </c>
      <c r="C33" s="19">
        <v>2500</v>
      </c>
    </row>
    <row r="34" spans="1:3" ht="18.75" customHeight="1" x14ac:dyDescent="0.2">
      <c r="A34" s="20" t="s">
        <v>679</v>
      </c>
      <c r="B34" s="19"/>
      <c r="C34" s="19"/>
    </row>
    <row r="35" spans="1:3" x14ac:dyDescent="0.2">
      <c r="A35" s="20" t="s">
        <v>242</v>
      </c>
      <c r="B35" s="22">
        <f>B25+B26+B28+B29+B30+B31+B33+B34</f>
        <v>114238.45</v>
      </c>
      <c r="C35" s="22">
        <f>C25+C26+C28+C29+C32+C33</f>
        <v>176700</v>
      </c>
    </row>
    <row r="36" spans="1:3" x14ac:dyDescent="0.2">
      <c r="A36" s="20" t="s">
        <v>243</v>
      </c>
      <c r="B36" s="22">
        <f>((B8)+(B15))+B32+(B35)</f>
        <v>205687.47</v>
      </c>
      <c r="C36" s="22">
        <f>((C8)+(C15))+(C35)</f>
        <v>353200</v>
      </c>
    </row>
    <row r="37" spans="1:3" x14ac:dyDescent="0.2">
      <c r="A37" s="20"/>
      <c r="B37" s="22"/>
      <c r="C37" s="22"/>
    </row>
    <row r="38" spans="1:3" x14ac:dyDescent="0.2">
      <c r="A38" s="20" t="s">
        <v>1</v>
      </c>
      <c r="B38" s="22">
        <f>SUM(B36:B37)</f>
        <v>205687.47</v>
      </c>
      <c r="C38" s="22">
        <f>C36</f>
        <v>353200</v>
      </c>
    </row>
    <row r="39" spans="1:3" x14ac:dyDescent="0.2">
      <c r="A39" s="20" t="s">
        <v>2</v>
      </c>
      <c r="B39" s="85">
        <f>(B38)-(0)</f>
        <v>205687.47</v>
      </c>
      <c r="C39" s="22">
        <f>(C38)-(0)</f>
        <v>353200</v>
      </c>
    </row>
    <row r="40" spans="1:3" x14ac:dyDescent="0.2">
      <c r="A40" s="20" t="s">
        <v>244</v>
      </c>
      <c r="B40" s="21"/>
      <c r="C40" s="21"/>
    </row>
    <row r="41" spans="1:3" x14ac:dyDescent="0.2">
      <c r="A41" s="20" t="s">
        <v>245</v>
      </c>
      <c r="B41" s="21"/>
      <c r="C41" s="21"/>
    </row>
    <row r="42" spans="1:3" x14ac:dyDescent="0.2">
      <c r="A42" s="20" t="s">
        <v>323</v>
      </c>
      <c r="B42" s="131"/>
      <c r="C42" s="21"/>
    </row>
    <row r="43" spans="1:3" x14ac:dyDescent="0.2">
      <c r="A43" s="20" t="s">
        <v>324</v>
      </c>
      <c r="B43" s="131"/>
      <c r="C43" s="14">
        <v>3900</v>
      </c>
    </row>
    <row r="44" spans="1:3" x14ac:dyDescent="0.2">
      <c r="A44" s="20" t="s">
        <v>534</v>
      </c>
      <c r="B44" s="131"/>
      <c r="C44" s="19"/>
    </row>
    <row r="45" spans="1:3" x14ac:dyDescent="0.2">
      <c r="A45" s="20" t="s">
        <v>485</v>
      </c>
      <c r="B45" s="19"/>
      <c r="C45" s="19">
        <v>1700</v>
      </c>
    </row>
    <row r="46" spans="1:3" x14ac:dyDescent="0.2">
      <c r="A46" s="20" t="s">
        <v>325</v>
      </c>
      <c r="B46" s="19">
        <v>2400</v>
      </c>
      <c r="C46" s="19">
        <v>9000</v>
      </c>
    </row>
    <row r="47" spans="1:3" x14ac:dyDescent="0.2">
      <c r="A47" s="20" t="s">
        <v>735</v>
      </c>
      <c r="B47" s="19">
        <v>7400</v>
      </c>
      <c r="C47" s="19"/>
    </row>
    <row r="48" spans="1:3" x14ac:dyDescent="0.2">
      <c r="A48" s="20" t="s">
        <v>326</v>
      </c>
      <c r="B48" s="19"/>
      <c r="C48" s="19">
        <v>4000</v>
      </c>
    </row>
    <row r="49" spans="1:3" x14ac:dyDescent="0.2">
      <c r="A49" s="82" t="s">
        <v>572</v>
      </c>
      <c r="B49" s="19"/>
      <c r="C49" s="19"/>
    </row>
    <row r="50" spans="1:3" x14ac:dyDescent="0.2">
      <c r="A50" s="20" t="s">
        <v>630</v>
      </c>
      <c r="B50" s="19">
        <v>2265</v>
      </c>
      <c r="C50" s="19">
        <v>7740</v>
      </c>
    </row>
    <row r="51" spans="1:3" x14ac:dyDescent="0.2">
      <c r="A51" s="20" t="s">
        <v>736</v>
      </c>
      <c r="B51" s="19">
        <v>4000</v>
      </c>
      <c r="C51" s="19"/>
    </row>
    <row r="52" spans="1:3" x14ac:dyDescent="0.2">
      <c r="A52" s="20" t="s">
        <v>706</v>
      </c>
      <c r="B52" s="19">
        <v>1500</v>
      </c>
      <c r="C52" s="19"/>
    </row>
    <row r="53" spans="1:3" x14ac:dyDescent="0.2">
      <c r="A53" s="20" t="s">
        <v>705</v>
      </c>
      <c r="B53" s="19">
        <v>611.25</v>
      </c>
      <c r="C53" s="19"/>
    </row>
    <row r="54" spans="1:3" x14ac:dyDescent="0.2">
      <c r="A54" s="20" t="s">
        <v>533</v>
      </c>
      <c r="B54" s="19"/>
      <c r="C54" s="19"/>
    </row>
    <row r="55" spans="1:3" x14ac:dyDescent="0.2">
      <c r="A55" s="74" t="s">
        <v>547</v>
      </c>
      <c r="B55" s="19"/>
      <c r="C55" s="19"/>
    </row>
    <row r="56" spans="1:3" x14ac:dyDescent="0.2">
      <c r="A56" s="20" t="s">
        <v>410</v>
      </c>
      <c r="B56" s="83"/>
      <c r="C56" s="19"/>
    </row>
    <row r="57" spans="1:3" x14ac:dyDescent="0.2">
      <c r="A57" s="20" t="s">
        <v>548</v>
      </c>
      <c r="B57" s="19"/>
      <c r="C57" s="19"/>
    </row>
    <row r="58" spans="1:3" x14ac:dyDescent="0.2">
      <c r="A58" s="20" t="s">
        <v>549</v>
      </c>
      <c r="B58" s="19"/>
      <c r="C58" s="19"/>
    </row>
    <row r="59" spans="1:3" x14ac:dyDescent="0.2">
      <c r="A59" s="20" t="s">
        <v>632</v>
      </c>
      <c r="B59" s="19">
        <v>21960</v>
      </c>
      <c r="C59" s="19">
        <v>4000</v>
      </c>
    </row>
    <row r="60" spans="1:3" x14ac:dyDescent="0.2">
      <c r="A60" s="82" t="s">
        <v>573</v>
      </c>
      <c r="B60" s="19"/>
      <c r="C60" s="19">
        <v>0</v>
      </c>
    </row>
    <row r="61" spans="1:3" x14ac:dyDescent="0.2">
      <c r="A61" s="82" t="s">
        <v>574</v>
      </c>
      <c r="B61" s="19"/>
      <c r="C61" s="19"/>
    </row>
    <row r="62" spans="1:3" x14ac:dyDescent="0.2">
      <c r="A62" s="20" t="s">
        <v>631</v>
      </c>
      <c r="B62" s="19"/>
      <c r="C62" s="19"/>
    </row>
    <row r="63" spans="1:3" x14ac:dyDescent="0.2">
      <c r="A63" s="20" t="s">
        <v>620</v>
      </c>
      <c r="B63" s="19"/>
      <c r="C63" s="19"/>
    </row>
    <row r="64" spans="1:3" x14ac:dyDescent="0.2">
      <c r="A64" s="20" t="s">
        <v>707</v>
      </c>
      <c r="B64" s="19">
        <v>931.66</v>
      </c>
      <c r="C64" s="19"/>
    </row>
    <row r="65" spans="1:3" x14ac:dyDescent="0.2">
      <c r="A65" s="20" t="s">
        <v>588</v>
      </c>
      <c r="B65" s="76"/>
      <c r="C65" s="19"/>
    </row>
    <row r="66" spans="1:3" x14ac:dyDescent="0.2">
      <c r="A66" s="20" t="s">
        <v>327</v>
      </c>
      <c r="B66" s="131">
        <v>22238.38</v>
      </c>
      <c r="C66" s="19">
        <v>32460</v>
      </c>
    </row>
    <row r="67" spans="1:3" x14ac:dyDescent="0.2">
      <c r="A67" s="20" t="s">
        <v>328</v>
      </c>
      <c r="B67" s="127">
        <f>SUM(B41:B66)</f>
        <v>63306.290000000008</v>
      </c>
      <c r="C67" s="22">
        <f>SUM(C42:C66)</f>
        <v>62800</v>
      </c>
    </row>
    <row r="68" spans="1:3" x14ac:dyDescent="0.2">
      <c r="A68" s="20" t="s">
        <v>246</v>
      </c>
      <c r="B68" s="21"/>
      <c r="C68" s="21"/>
    </row>
    <row r="69" spans="1:3" ht="3.75" customHeight="1" x14ac:dyDescent="0.2">
      <c r="A69" s="20"/>
      <c r="B69" s="19"/>
      <c r="C69" s="19"/>
    </row>
    <row r="70" spans="1:3" x14ac:dyDescent="0.2">
      <c r="A70" s="20" t="s">
        <v>247</v>
      </c>
      <c r="B70" s="21"/>
      <c r="C70" s="21"/>
    </row>
    <row r="71" spans="1:3" x14ac:dyDescent="0.2">
      <c r="A71" s="20" t="s">
        <v>248</v>
      </c>
      <c r="B71" s="86">
        <v>43076.95</v>
      </c>
      <c r="C71" s="19">
        <v>70000</v>
      </c>
    </row>
    <row r="72" spans="1:3" x14ac:dyDescent="0.2">
      <c r="A72" s="20" t="s">
        <v>654</v>
      </c>
      <c r="B72" s="86">
        <v>2506.39</v>
      </c>
      <c r="C72" s="19"/>
    </row>
    <row r="73" spans="1:3" x14ac:dyDescent="0.2">
      <c r="A73" s="20" t="s">
        <v>708</v>
      </c>
      <c r="B73" s="86">
        <v>239.71</v>
      </c>
      <c r="C73" s="19"/>
    </row>
    <row r="74" spans="1:3" x14ac:dyDescent="0.2">
      <c r="A74" s="20" t="s">
        <v>249</v>
      </c>
      <c r="B74" s="86"/>
      <c r="C74" s="19">
        <v>13500</v>
      </c>
    </row>
    <row r="75" spans="1:3" x14ac:dyDescent="0.2">
      <c r="A75" s="20" t="s">
        <v>250</v>
      </c>
      <c r="B75" s="85">
        <f>SUM(B71:B74)</f>
        <v>45823.049999999996</v>
      </c>
      <c r="C75" s="22">
        <f>((C70)+(C71))+(C74)</f>
        <v>83500</v>
      </c>
    </row>
    <row r="76" spans="1:3" x14ac:dyDescent="0.2">
      <c r="A76" s="20" t="s">
        <v>329</v>
      </c>
      <c r="B76" s="21"/>
      <c r="C76" s="21"/>
    </row>
    <row r="77" spans="1:3" x14ac:dyDescent="0.2">
      <c r="A77" s="20" t="s">
        <v>330</v>
      </c>
      <c r="B77" s="86">
        <v>303.05</v>
      </c>
      <c r="C77" s="19">
        <v>39600</v>
      </c>
    </row>
    <row r="78" spans="1:3" x14ac:dyDescent="0.2">
      <c r="A78" s="20" t="s">
        <v>331</v>
      </c>
      <c r="B78" s="22">
        <f>(B76)+(B77)</f>
        <v>303.05</v>
      </c>
      <c r="C78" s="22">
        <f>(C76)+(C77)</f>
        <v>39600</v>
      </c>
    </row>
    <row r="79" spans="1:3" x14ac:dyDescent="0.2">
      <c r="A79" s="20" t="s">
        <v>332</v>
      </c>
      <c r="B79" s="21"/>
      <c r="C79" s="21"/>
    </row>
    <row r="80" spans="1:3" x14ac:dyDescent="0.2">
      <c r="A80" s="20" t="s">
        <v>333</v>
      </c>
      <c r="B80" s="19"/>
      <c r="C80" s="19">
        <v>6400</v>
      </c>
    </row>
    <row r="81" spans="1:3" x14ac:dyDescent="0.2">
      <c r="A81" s="20" t="s">
        <v>589</v>
      </c>
      <c r="B81" s="21"/>
      <c r="C81" s="21"/>
    </row>
    <row r="82" spans="1:3" x14ac:dyDescent="0.2">
      <c r="A82" s="20" t="s">
        <v>486</v>
      </c>
      <c r="B82" s="19">
        <v>9984</v>
      </c>
      <c r="C82" s="19">
        <v>10400</v>
      </c>
    </row>
    <row r="83" spans="1:3" ht="6.5" customHeight="1" x14ac:dyDescent="0.2">
      <c r="A83" s="20"/>
      <c r="B83" s="19"/>
      <c r="C83" s="19"/>
    </row>
    <row r="84" spans="1:3" ht="7.25" customHeight="1" x14ac:dyDescent="0.2">
      <c r="A84" s="20"/>
      <c r="B84" s="22"/>
      <c r="C84" s="22"/>
    </row>
    <row r="85" spans="1:3" x14ac:dyDescent="0.2">
      <c r="A85" s="20" t="s">
        <v>251</v>
      </c>
      <c r="B85" s="127">
        <f>B75+B78+B80+B81+B82</f>
        <v>56110.1</v>
      </c>
      <c r="C85" s="127">
        <f>C75+C78+C80+C81+C82</f>
        <v>139900</v>
      </c>
    </row>
    <row r="86" spans="1:3" x14ac:dyDescent="0.2">
      <c r="A86" s="20" t="s">
        <v>252</v>
      </c>
      <c r="B86" s="21"/>
      <c r="C86" s="21"/>
    </row>
    <row r="87" spans="1:3" x14ac:dyDescent="0.2">
      <c r="A87" s="20" t="s">
        <v>334</v>
      </c>
      <c r="B87" s="131">
        <v>5072.24</v>
      </c>
      <c r="C87" s="19">
        <v>4700</v>
      </c>
    </row>
    <row r="88" spans="1:3" x14ac:dyDescent="0.2">
      <c r="A88" s="20" t="s">
        <v>253</v>
      </c>
      <c r="B88" s="131">
        <v>12195.08</v>
      </c>
      <c r="C88" s="19">
        <v>15136</v>
      </c>
    </row>
    <row r="89" spans="1:3" x14ac:dyDescent="0.2">
      <c r="A89" s="20" t="s">
        <v>254</v>
      </c>
      <c r="B89" s="19">
        <v>1465</v>
      </c>
      <c r="C89" s="19">
        <v>3500</v>
      </c>
    </row>
    <row r="90" spans="1:3" x14ac:dyDescent="0.2">
      <c r="A90" s="20" t="s">
        <v>653</v>
      </c>
      <c r="B90" s="19">
        <v>963.9</v>
      </c>
      <c r="C90" s="19"/>
    </row>
    <row r="91" spans="1:3" x14ac:dyDescent="0.2">
      <c r="A91" s="20" t="s">
        <v>579</v>
      </c>
      <c r="B91" s="19"/>
      <c r="C91" s="19">
        <v>0</v>
      </c>
    </row>
    <row r="92" spans="1:3" x14ac:dyDescent="0.2">
      <c r="A92" s="20" t="s">
        <v>590</v>
      </c>
      <c r="B92" s="131"/>
      <c r="C92" s="19">
        <v>2400</v>
      </c>
    </row>
    <row r="93" spans="1:3" x14ac:dyDescent="0.2">
      <c r="A93" s="20" t="s">
        <v>591</v>
      </c>
      <c r="B93" s="131"/>
      <c r="C93" s="19">
        <v>0</v>
      </c>
    </row>
    <row r="94" spans="1:3" x14ac:dyDescent="0.2">
      <c r="A94" s="20" t="s">
        <v>592</v>
      </c>
      <c r="B94" s="19"/>
      <c r="C94" s="19">
        <v>1280</v>
      </c>
    </row>
    <row r="95" spans="1:3" x14ac:dyDescent="0.2">
      <c r="A95" s="20" t="s">
        <v>593</v>
      </c>
      <c r="B95" s="19"/>
      <c r="C95" s="19">
        <v>21300</v>
      </c>
    </row>
    <row r="96" spans="1:3" x14ac:dyDescent="0.2">
      <c r="A96" s="20" t="s">
        <v>594</v>
      </c>
      <c r="B96" s="19"/>
      <c r="C96" s="19"/>
    </row>
    <row r="97" spans="1:5" x14ac:dyDescent="0.2">
      <c r="A97" s="20" t="s">
        <v>606</v>
      </c>
      <c r="B97" s="132">
        <v>8330.2199999999993</v>
      </c>
      <c r="C97" s="19">
        <v>0</v>
      </c>
    </row>
    <row r="98" spans="1:5" x14ac:dyDescent="0.2">
      <c r="A98" s="20" t="s">
        <v>404</v>
      </c>
      <c r="B98" s="19">
        <v>1334.83</v>
      </c>
      <c r="C98" s="19">
        <v>2000</v>
      </c>
    </row>
    <row r="99" spans="1:5" ht="16" thickBot="1" x14ac:dyDescent="0.25">
      <c r="A99" s="20">
        <v>2</v>
      </c>
      <c r="B99" s="125"/>
      <c r="C99" s="125">
        <v>850</v>
      </c>
    </row>
    <row r="100" spans="1:5" x14ac:dyDescent="0.2">
      <c r="A100" s="20" t="s">
        <v>605</v>
      </c>
      <c r="B100" s="129">
        <f>SUM(B87:B98)</f>
        <v>29361.270000000004</v>
      </c>
      <c r="C100" s="19">
        <f>SUM(C87:C99)</f>
        <v>51166</v>
      </c>
      <c r="E100" s="68"/>
    </row>
    <row r="101" spans="1:5" x14ac:dyDescent="0.2">
      <c r="A101" s="20" t="s">
        <v>255</v>
      </c>
      <c r="B101" s="21"/>
      <c r="C101" s="21"/>
    </row>
    <row r="102" spans="1:5" x14ac:dyDescent="0.2">
      <c r="A102" s="20" t="s">
        <v>256</v>
      </c>
      <c r="B102" s="19">
        <v>425.24</v>
      </c>
      <c r="C102" s="19">
        <v>1750</v>
      </c>
    </row>
    <row r="103" spans="1:5" x14ac:dyDescent="0.2">
      <c r="A103" s="20" t="s">
        <v>540</v>
      </c>
      <c r="B103" s="64">
        <v>0</v>
      </c>
      <c r="C103" s="19"/>
    </row>
    <row r="104" spans="1:5" x14ac:dyDescent="0.2">
      <c r="A104" s="20" t="s">
        <v>257</v>
      </c>
      <c r="B104" s="163">
        <v>4023.14</v>
      </c>
      <c r="C104" s="19">
        <v>4700</v>
      </c>
    </row>
    <row r="105" spans="1:5" x14ac:dyDescent="0.2">
      <c r="A105" s="20" t="s">
        <v>580</v>
      </c>
      <c r="B105" s="167">
        <v>64.8</v>
      </c>
      <c r="C105" s="19"/>
    </row>
    <row r="106" spans="1:5" x14ac:dyDescent="0.2">
      <c r="A106" s="20" t="s">
        <v>335</v>
      </c>
      <c r="B106" s="131"/>
      <c r="C106" s="19">
        <v>500</v>
      </c>
    </row>
    <row r="107" spans="1:5" x14ac:dyDescent="0.2">
      <c r="A107" s="20" t="s">
        <v>336</v>
      </c>
      <c r="B107" s="131">
        <v>40</v>
      </c>
      <c r="C107" s="19">
        <v>1500</v>
      </c>
    </row>
    <row r="108" spans="1:5" x14ac:dyDescent="0.2">
      <c r="A108" s="20" t="s">
        <v>437</v>
      </c>
      <c r="B108" s="21"/>
      <c r="C108" s="21"/>
    </row>
    <row r="109" spans="1:5" x14ac:dyDescent="0.2">
      <c r="A109" s="20" t="s">
        <v>316</v>
      </c>
      <c r="B109" s="131">
        <v>90.39</v>
      </c>
      <c r="C109" s="19">
        <v>1000</v>
      </c>
    </row>
    <row r="110" spans="1:5" x14ac:dyDescent="0.2">
      <c r="A110" s="20" t="s">
        <v>435</v>
      </c>
      <c r="B110" s="131"/>
      <c r="C110" s="19">
        <v>1500</v>
      </c>
    </row>
    <row r="111" spans="1:5" x14ac:dyDescent="0.2">
      <c r="A111" s="20" t="s">
        <v>640</v>
      </c>
      <c r="B111" s="131">
        <v>126.48</v>
      </c>
      <c r="C111" s="19"/>
    </row>
    <row r="112" spans="1:5" x14ac:dyDescent="0.2">
      <c r="A112" s="20" t="s">
        <v>487</v>
      </c>
      <c r="B112" s="131">
        <v>406.69</v>
      </c>
      <c r="C112" s="19">
        <v>1500</v>
      </c>
    </row>
    <row r="113" spans="1:5" x14ac:dyDescent="0.2">
      <c r="A113" s="20" t="s">
        <v>438</v>
      </c>
      <c r="B113" s="22">
        <f>SUM(B109:B112)</f>
        <v>623.55999999999995</v>
      </c>
      <c r="C113" s="22">
        <f>(((C108)+(C109))+(C110))+(C112)</f>
        <v>4000</v>
      </c>
    </row>
    <row r="114" spans="1:5" x14ac:dyDescent="0.2">
      <c r="A114" s="20" t="s">
        <v>311</v>
      </c>
      <c r="B114" s="19"/>
      <c r="C114" s="19">
        <v>50</v>
      </c>
    </row>
    <row r="115" spans="1:5" x14ac:dyDescent="0.2">
      <c r="A115" s="20" t="s">
        <v>258</v>
      </c>
      <c r="B115" s="21"/>
      <c r="C115" s="21"/>
    </row>
    <row r="116" spans="1:5" x14ac:dyDescent="0.2">
      <c r="A116" s="20" t="s">
        <v>337</v>
      </c>
      <c r="B116" s="131">
        <v>236.58</v>
      </c>
      <c r="C116" s="19">
        <v>500</v>
      </c>
    </row>
    <row r="117" spans="1:5" x14ac:dyDescent="0.2">
      <c r="A117" s="20" t="s">
        <v>259</v>
      </c>
      <c r="B117" s="131">
        <v>55.09</v>
      </c>
      <c r="C117" s="19">
        <v>400</v>
      </c>
    </row>
    <row r="118" spans="1:5" x14ac:dyDescent="0.2">
      <c r="A118" s="20" t="s">
        <v>260</v>
      </c>
      <c r="B118" s="85">
        <f>((B115)+(B116))+(B117)</f>
        <v>291.67</v>
      </c>
      <c r="C118" s="22">
        <f>((C115)+(C116))+(C117)</f>
        <v>900</v>
      </c>
    </row>
    <row r="119" spans="1:5" x14ac:dyDescent="0.2">
      <c r="A119" s="20" t="s">
        <v>261</v>
      </c>
      <c r="B119" s="131">
        <v>1697</v>
      </c>
      <c r="C119" s="19">
        <v>1250</v>
      </c>
    </row>
    <row r="120" spans="1:5" x14ac:dyDescent="0.2">
      <c r="A120" s="20" t="s">
        <v>411</v>
      </c>
      <c r="B120" s="131">
        <v>784.95</v>
      </c>
      <c r="C120" s="19">
        <v>2000</v>
      </c>
    </row>
    <row r="121" spans="1:5" x14ac:dyDescent="0.2">
      <c r="A121" s="20" t="s">
        <v>338</v>
      </c>
      <c r="B121" s="131">
        <v>1782.57</v>
      </c>
      <c r="C121" s="19">
        <v>1750</v>
      </c>
    </row>
    <row r="122" spans="1:5" x14ac:dyDescent="0.2">
      <c r="A122" s="20" t="s">
        <v>622</v>
      </c>
      <c r="B122" s="19"/>
      <c r="C122" s="19"/>
    </row>
    <row r="123" spans="1:5" x14ac:dyDescent="0.2">
      <c r="A123" s="20" t="s">
        <v>339</v>
      </c>
      <c r="B123" s="131">
        <v>1344.2</v>
      </c>
      <c r="C123" s="19">
        <v>750</v>
      </c>
    </row>
    <row r="124" spans="1:5" x14ac:dyDescent="0.2">
      <c r="A124" s="20" t="s">
        <v>262</v>
      </c>
      <c r="B124" s="131"/>
      <c r="C124" s="19">
        <v>250</v>
      </c>
    </row>
    <row r="125" spans="1:5" x14ac:dyDescent="0.2">
      <c r="A125" s="20" t="s">
        <v>340</v>
      </c>
      <c r="B125" s="131">
        <v>875</v>
      </c>
      <c r="C125" s="19">
        <f>1000</f>
        <v>1000</v>
      </c>
      <c r="D125" s="68"/>
    </row>
    <row r="126" spans="1:5" x14ac:dyDescent="0.2">
      <c r="A126" s="20" t="s">
        <v>263</v>
      </c>
      <c r="B126" s="131">
        <v>1837.83</v>
      </c>
      <c r="C126" s="19">
        <v>3000</v>
      </c>
    </row>
    <row r="128" spans="1:5" x14ac:dyDescent="0.2">
      <c r="A128" s="20" t="s">
        <v>341</v>
      </c>
      <c r="B128" s="131">
        <v>38.880000000000003</v>
      </c>
      <c r="C128" s="19">
        <v>750</v>
      </c>
      <c r="E128" s="68"/>
    </row>
    <row r="129" spans="1:3" x14ac:dyDescent="0.2">
      <c r="A129" s="20" t="s">
        <v>342</v>
      </c>
      <c r="B129" s="21"/>
      <c r="C129" s="21"/>
    </row>
    <row r="130" spans="1:3" x14ac:dyDescent="0.2">
      <c r="A130" s="20" t="s">
        <v>343</v>
      </c>
      <c r="B130" s="131"/>
      <c r="C130" s="19">
        <v>3000</v>
      </c>
    </row>
    <row r="131" spans="1:3" x14ac:dyDescent="0.2">
      <c r="A131" s="20" t="s">
        <v>344</v>
      </c>
      <c r="B131" s="131"/>
      <c r="C131" s="19">
        <v>250</v>
      </c>
    </row>
    <row r="132" spans="1:3" x14ac:dyDescent="0.2">
      <c r="A132" s="20" t="s">
        <v>345</v>
      </c>
      <c r="B132" s="22">
        <f>((B129)+(B130))+(B131)</f>
        <v>0</v>
      </c>
      <c r="C132" s="22">
        <f>((C129)+(C130))+(C131)</f>
        <v>3250</v>
      </c>
    </row>
    <row r="133" spans="1:3" x14ac:dyDescent="0.2">
      <c r="A133" s="20" t="s">
        <v>346</v>
      </c>
      <c r="B133" s="21"/>
      <c r="C133" s="21"/>
    </row>
    <row r="134" spans="1:3" x14ac:dyDescent="0.2">
      <c r="A134" s="20" t="s">
        <v>347</v>
      </c>
      <c r="B134" s="19"/>
      <c r="C134" s="19">
        <v>500</v>
      </c>
    </row>
    <row r="135" spans="1:3" x14ac:dyDescent="0.2">
      <c r="A135" s="20" t="s">
        <v>348</v>
      </c>
      <c r="B135" s="19"/>
      <c r="C135" s="19">
        <v>0</v>
      </c>
    </row>
    <row r="136" spans="1:3" x14ac:dyDescent="0.2">
      <c r="A136" s="20" t="s">
        <v>349</v>
      </c>
      <c r="B136" s="85">
        <f>((B133)+(B134))+(B135)</f>
        <v>0</v>
      </c>
      <c r="C136" s="22">
        <f>((C133)+(C134))+(C135)</f>
        <v>500</v>
      </c>
    </row>
    <row r="137" spans="1:3" x14ac:dyDescent="0.2">
      <c r="A137" s="20" t="s">
        <v>350</v>
      </c>
      <c r="B137" s="21"/>
      <c r="C137" s="21"/>
    </row>
    <row r="138" spans="1:3" x14ac:dyDescent="0.2">
      <c r="A138" s="20" t="s">
        <v>351</v>
      </c>
      <c r="B138" s="19"/>
      <c r="C138" s="19">
        <v>750</v>
      </c>
    </row>
    <row r="139" spans="1:3" x14ac:dyDescent="0.2">
      <c r="A139" s="20" t="s">
        <v>352</v>
      </c>
      <c r="B139" s="85">
        <f>B138</f>
        <v>0</v>
      </c>
      <c r="C139" s="22">
        <f>(C137)+(C138)</f>
        <v>750</v>
      </c>
    </row>
    <row r="140" spans="1:3" x14ac:dyDescent="0.2">
      <c r="A140" s="20" t="s">
        <v>353</v>
      </c>
      <c r="B140" s="21"/>
      <c r="C140" s="21"/>
    </row>
    <row r="141" spans="1:3" x14ac:dyDescent="0.2">
      <c r="A141" s="20" t="s">
        <v>354</v>
      </c>
      <c r="B141" s="131">
        <v>10810.36</v>
      </c>
      <c r="C141" s="19">
        <v>17000</v>
      </c>
    </row>
    <row r="142" spans="1:3" x14ac:dyDescent="0.2">
      <c r="A142" s="20" t="s">
        <v>355</v>
      </c>
      <c r="B142" s="131">
        <v>462.75</v>
      </c>
      <c r="C142" s="19">
        <v>2000</v>
      </c>
    </row>
    <row r="143" spans="1:3" x14ac:dyDescent="0.2">
      <c r="A143" s="20" t="s">
        <v>356</v>
      </c>
      <c r="B143" s="131"/>
      <c r="C143" s="19">
        <v>750</v>
      </c>
    </row>
    <row r="144" spans="1:3" x14ac:dyDescent="0.2">
      <c r="A144" s="20" t="s">
        <v>412</v>
      </c>
      <c r="B144" s="131">
        <v>7250</v>
      </c>
      <c r="C144" s="19">
        <v>250</v>
      </c>
    </row>
    <row r="145" spans="1:5" x14ac:dyDescent="0.2">
      <c r="A145" s="20" t="s">
        <v>357</v>
      </c>
      <c r="B145" s="22">
        <f>((((B140)+(B141))+(B142))+(B143))+(B144)</f>
        <v>18523.11</v>
      </c>
      <c r="C145" s="22">
        <f>((((C140)+(C141))+(C142))+(C143))+(C144)</f>
        <v>20000</v>
      </c>
    </row>
    <row r="146" spans="1:5" x14ac:dyDescent="0.2">
      <c r="A146" s="20" t="s">
        <v>400</v>
      </c>
      <c r="B146" s="19"/>
      <c r="C146" s="19">
        <v>1500</v>
      </c>
    </row>
    <row r="147" spans="1:5" x14ac:dyDescent="0.2">
      <c r="A147" s="20" t="s">
        <v>663</v>
      </c>
      <c r="B147" s="19">
        <v>4750.59</v>
      </c>
      <c r="C147" s="19"/>
    </row>
    <row r="148" spans="1:5" x14ac:dyDescent="0.2">
      <c r="A148" s="20" t="s">
        <v>264</v>
      </c>
      <c r="B148" s="19">
        <v>0</v>
      </c>
      <c r="C148" s="19">
        <v>2000</v>
      </c>
    </row>
    <row r="149" spans="1:5" x14ac:dyDescent="0.2">
      <c r="A149" s="126" t="s">
        <v>265</v>
      </c>
      <c r="B149" s="127">
        <f>(((((((((((((((((((((B101)+(B102))+B103+(B104))+(B106))+(B107))+(B113))+(B114))+(B118))+(B119))+(B120))+(B121))+B122+(B123))+(B124))+(B125))+(B126))+B105+(B128))+(B132))+(B136))+(B139))+(B145))+(B146))+B147+(B148)</f>
        <v>37102.54</v>
      </c>
      <c r="C149" s="127">
        <f>(((((((((((((((((((((C101)+(C102))+(C104))+(C106))+(C107))+(C113))+(C114))+(C118))+(C119))+(C120))+(C121))+(C123))+(C124))+(C125))+(C126))+C105+(C128))+(C132))+(C136))+(C139))+(C145))+(C146))+(C148)</f>
        <v>52150</v>
      </c>
      <c r="D149" s="128"/>
      <c r="E149" s="128"/>
    </row>
    <row r="150" spans="1:5" x14ac:dyDescent="0.2">
      <c r="A150" s="20" t="s">
        <v>266</v>
      </c>
      <c r="B150" s="21"/>
      <c r="C150" s="21"/>
    </row>
    <row r="151" spans="1:5" x14ac:dyDescent="0.2">
      <c r="A151" s="20" t="s">
        <v>267</v>
      </c>
      <c r="B151" s="21"/>
      <c r="C151" s="21"/>
    </row>
    <row r="152" spans="1:5" x14ac:dyDescent="0.2">
      <c r="A152" s="20" t="s">
        <v>358</v>
      </c>
      <c r="B152" s="131">
        <v>583.88</v>
      </c>
      <c r="C152" s="19">
        <v>1000</v>
      </c>
    </row>
    <row r="153" spans="1:5" x14ac:dyDescent="0.2">
      <c r="A153" s="20" t="s">
        <v>621</v>
      </c>
      <c r="C153" s="19"/>
    </row>
    <row r="154" spans="1:5" x14ac:dyDescent="0.2">
      <c r="A154" s="20" t="s">
        <v>268</v>
      </c>
      <c r="B154" s="131">
        <v>8163.88</v>
      </c>
      <c r="C154" s="19">
        <v>16500</v>
      </c>
    </row>
    <row r="155" spans="1:5" x14ac:dyDescent="0.2">
      <c r="A155" s="20" t="s">
        <v>269</v>
      </c>
      <c r="B155" s="22">
        <f>SUM(B152:B154)</f>
        <v>8747.76</v>
      </c>
      <c r="C155" s="22">
        <f>((C151)+(C152))+(C154)</f>
        <v>17500</v>
      </c>
    </row>
    <row r="156" spans="1:5" x14ac:dyDescent="0.2">
      <c r="A156" s="20" t="s">
        <v>270</v>
      </c>
      <c r="B156" s="21"/>
      <c r="C156" s="21"/>
    </row>
    <row r="157" spans="1:5" x14ac:dyDescent="0.2">
      <c r="A157" s="20" t="s">
        <v>271</v>
      </c>
      <c r="B157" s="131">
        <v>1421.92</v>
      </c>
      <c r="C157" s="19">
        <v>2750</v>
      </c>
    </row>
    <row r="158" spans="1:5" x14ac:dyDescent="0.2">
      <c r="A158" s="20" t="s">
        <v>359</v>
      </c>
      <c r="B158" s="131">
        <v>1000.79</v>
      </c>
      <c r="C158" s="19">
        <v>1750</v>
      </c>
    </row>
    <row r="159" spans="1:5" x14ac:dyDescent="0.2">
      <c r="A159" s="20" t="s">
        <v>360</v>
      </c>
      <c r="B159" s="131">
        <v>2021.18</v>
      </c>
      <c r="C159" s="19">
        <v>3000</v>
      </c>
    </row>
    <row r="160" spans="1:5" x14ac:dyDescent="0.2">
      <c r="A160" s="20" t="s">
        <v>272</v>
      </c>
      <c r="B160" s="22">
        <f>(((B156)+(B157))+(B158))+(B159)</f>
        <v>4443.8900000000003</v>
      </c>
      <c r="C160" s="22">
        <f>(((C156)+(C157))+(C158))+(C159)</f>
        <v>7500</v>
      </c>
    </row>
    <row r="161" spans="1:3" x14ac:dyDescent="0.2">
      <c r="A161" s="20" t="s">
        <v>361</v>
      </c>
      <c r="B161" s="21"/>
      <c r="C161" s="21"/>
    </row>
    <row r="162" spans="1:3" x14ac:dyDescent="0.2">
      <c r="A162" s="20" t="s">
        <v>362</v>
      </c>
      <c r="B162" s="131">
        <v>2184.0100000000002</v>
      </c>
      <c r="C162" s="19">
        <v>500</v>
      </c>
    </row>
    <row r="163" spans="1:3" x14ac:dyDescent="0.2">
      <c r="A163" s="20" t="s">
        <v>363</v>
      </c>
      <c r="B163" s="131"/>
      <c r="C163" s="19">
        <v>1200</v>
      </c>
    </row>
    <row r="164" spans="1:3" x14ac:dyDescent="0.2">
      <c r="A164" s="20" t="s">
        <v>364</v>
      </c>
      <c r="B164" s="131"/>
      <c r="C164" s="19">
        <v>250</v>
      </c>
    </row>
    <row r="165" spans="1:3" x14ac:dyDescent="0.2">
      <c r="A165" s="20" t="s">
        <v>365</v>
      </c>
      <c r="B165" s="86"/>
      <c r="C165" s="19">
        <v>250</v>
      </c>
    </row>
    <row r="166" spans="1:3" x14ac:dyDescent="0.2">
      <c r="A166" s="20" t="s">
        <v>366</v>
      </c>
      <c r="B166" s="86"/>
      <c r="C166" s="19">
        <v>2750</v>
      </c>
    </row>
    <row r="167" spans="1:3" x14ac:dyDescent="0.2">
      <c r="A167" s="20" t="s">
        <v>367</v>
      </c>
      <c r="B167" s="64"/>
      <c r="C167" s="19">
        <v>250</v>
      </c>
    </row>
    <row r="168" spans="1:3" x14ac:dyDescent="0.2">
      <c r="A168" s="20" t="s">
        <v>413</v>
      </c>
      <c r="B168" s="64">
        <v>225</v>
      </c>
      <c r="C168" s="19">
        <v>500</v>
      </c>
    </row>
    <row r="169" spans="1:3" x14ac:dyDescent="0.2">
      <c r="A169" s="20" t="s">
        <v>368</v>
      </c>
      <c r="B169" s="22">
        <f>(((((((B161)+(B162))+(B163))+(B164))+(B165))+(B166))+(B167))+(B168)</f>
        <v>2409.0100000000002</v>
      </c>
      <c r="C169" s="22">
        <f>(((((((C161)+(C162))+(C163))+(C164))+(C165))+(C166))+(C167))+(C168)</f>
        <v>5700</v>
      </c>
    </row>
    <row r="170" spans="1:3" x14ac:dyDescent="0.2">
      <c r="A170" s="20" t="s">
        <v>369</v>
      </c>
      <c r="B170" s="21"/>
      <c r="C170" s="21"/>
    </row>
    <row r="171" spans="1:3" x14ac:dyDescent="0.2">
      <c r="A171" s="20" t="s">
        <v>370</v>
      </c>
      <c r="B171" s="131">
        <v>830.64</v>
      </c>
      <c r="C171" s="19">
        <v>150</v>
      </c>
    </row>
    <row r="172" spans="1:3" x14ac:dyDescent="0.2">
      <c r="A172" s="20" t="s">
        <v>633</v>
      </c>
      <c r="B172" s="19"/>
      <c r="C172" s="19"/>
    </row>
    <row r="173" spans="1:3" x14ac:dyDescent="0.2">
      <c r="A173" s="20" t="s">
        <v>371</v>
      </c>
      <c r="B173" s="19"/>
      <c r="C173" s="19">
        <v>150</v>
      </c>
    </row>
    <row r="174" spans="1:3" x14ac:dyDescent="0.2">
      <c r="A174" s="20" t="s">
        <v>429</v>
      </c>
      <c r="B174" s="131"/>
      <c r="C174" s="19">
        <v>500</v>
      </c>
    </row>
    <row r="175" spans="1:3" x14ac:dyDescent="0.2">
      <c r="A175" s="20" t="s">
        <v>372</v>
      </c>
      <c r="B175" s="131"/>
      <c r="C175" s="19">
        <v>4000</v>
      </c>
    </row>
    <row r="176" spans="1:3" x14ac:dyDescent="0.2">
      <c r="A176" s="20" t="s">
        <v>373</v>
      </c>
      <c r="B176" s="131">
        <v>248.23</v>
      </c>
      <c r="C176" s="19">
        <v>1500</v>
      </c>
    </row>
    <row r="177" spans="1:3" x14ac:dyDescent="0.2">
      <c r="A177" s="20" t="s">
        <v>374</v>
      </c>
      <c r="B177" s="131">
        <v>550</v>
      </c>
      <c r="C177" s="19">
        <v>700</v>
      </c>
    </row>
    <row r="178" spans="1:3" x14ac:dyDescent="0.2">
      <c r="A178" s="20" t="s">
        <v>375</v>
      </c>
      <c r="B178" s="131">
        <v>3612.33</v>
      </c>
      <c r="C178" s="19">
        <v>6000</v>
      </c>
    </row>
    <row r="179" spans="1:3" x14ac:dyDescent="0.2">
      <c r="A179" s="20" t="s">
        <v>376</v>
      </c>
      <c r="B179" s="19">
        <v>4417.67</v>
      </c>
      <c r="C179" s="19">
        <v>3000</v>
      </c>
    </row>
    <row r="180" spans="1:3" x14ac:dyDescent="0.2">
      <c r="A180" s="20" t="s">
        <v>577</v>
      </c>
      <c r="B180" s="19"/>
      <c r="C180" s="19">
        <v>0</v>
      </c>
    </row>
    <row r="181" spans="1:3" x14ac:dyDescent="0.2">
      <c r="A181" s="20" t="s">
        <v>377</v>
      </c>
      <c r="B181" s="19">
        <v>579.30999999999995</v>
      </c>
      <c r="C181" s="19">
        <v>250</v>
      </c>
    </row>
    <row r="182" spans="1:3" x14ac:dyDescent="0.2">
      <c r="A182" s="20" t="s">
        <v>378</v>
      </c>
      <c r="B182" s="22">
        <f>SUM(B171:B181)</f>
        <v>10238.179999999998</v>
      </c>
      <c r="C182" s="22">
        <f>(((((((((C170)+(C171))+(C173))+(C174))+(C175))+(C176))+(C177))+(C178))+(C179))+(C181)</f>
        <v>16250</v>
      </c>
    </row>
    <row r="183" spans="1:3" x14ac:dyDescent="0.2">
      <c r="A183" s="20" t="s">
        <v>273</v>
      </c>
      <c r="B183" s="127">
        <f>((((B150)+(B155))+(B160))+(B169))+(B182)</f>
        <v>25838.84</v>
      </c>
      <c r="C183" s="22">
        <f>((((C150)+(C155))+(C160))+(C169))+(C182)</f>
        <v>46950</v>
      </c>
    </row>
    <row r="184" spans="1:3" x14ac:dyDescent="0.2">
      <c r="A184" s="20" t="s">
        <v>274</v>
      </c>
      <c r="B184" s="85">
        <f>B67+B85+B100+B149+B183</f>
        <v>211719.04000000004</v>
      </c>
      <c r="C184" s="85">
        <f>C67+C85+C100+C149+C183</f>
        <v>352966</v>
      </c>
    </row>
    <row r="185" spans="1:3" x14ac:dyDescent="0.2">
      <c r="A185" s="20" t="s">
        <v>306</v>
      </c>
      <c r="B185" s="22">
        <f>B184</f>
        <v>211719.04000000004</v>
      </c>
      <c r="C185" s="22">
        <f>C184</f>
        <v>352966</v>
      </c>
    </row>
    <row r="186" spans="1:3" x14ac:dyDescent="0.2">
      <c r="A186" s="20" t="s">
        <v>307</v>
      </c>
      <c r="B186" s="153">
        <f>(B39)-(B185)</f>
        <v>-6031.5700000000361</v>
      </c>
      <c r="C186" s="22">
        <f>(C39)-(C185)</f>
        <v>234</v>
      </c>
    </row>
    <row r="187" spans="1:3" x14ac:dyDescent="0.2">
      <c r="A187" s="20"/>
      <c r="B187" s="22"/>
      <c r="C187" s="22"/>
    </row>
    <row r="188" spans="1:3" x14ac:dyDescent="0.2">
      <c r="A188" s="20"/>
      <c r="B188" s="25"/>
      <c r="C188" s="21"/>
    </row>
    <row r="189" spans="1:3" x14ac:dyDescent="0.2">
      <c r="A189" s="20"/>
      <c r="B189" s="25"/>
      <c r="C189" s="21"/>
    </row>
    <row r="190" spans="1:3" x14ac:dyDescent="0.2">
      <c r="A190" s="20"/>
      <c r="B190" s="25"/>
      <c r="C190" s="21"/>
    </row>
    <row r="191" spans="1:3" x14ac:dyDescent="0.2">
      <c r="A191" s="20"/>
      <c r="B191" s="25"/>
      <c r="C191" s="21"/>
    </row>
    <row r="192" spans="1:3" x14ac:dyDescent="0.2">
      <c r="A192" s="20"/>
      <c r="B192" s="25"/>
      <c r="C192" s="21"/>
    </row>
    <row r="193" spans="1:10" ht="24" customHeight="1" x14ac:dyDescent="0.2">
      <c r="A193" s="20" t="s">
        <v>685</v>
      </c>
      <c r="B193" s="25">
        <v>11189.02</v>
      </c>
      <c r="E193" s="73"/>
    </row>
    <row r="194" spans="1:10" x14ac:dyDescent="0.2">
      <c r="B194" s="14"/>
    </row>
    <row r="195" spans="1:10" ht="16" thickBot="1" x14ac:dyDescent="0.25">
      <c r="B195" s="14"/>
      <c r="C195" s="152">
        <f>B186+B193+B194</f>
        <v>5157.4499999999643</v>
      </c>
    </row>
    <row r="196" spans="1:10" ht="21.5" customHeight="1" x14ac:dyDescent="0.2">
      <c r="A196" s="20"/>
      <c r="B196" s="25"/>
      <c r="C196" s="72"/>
      <c r="E196" s="73"/>
    </row>
    <row r="197" spans="1:10" x14ac:dyDescent="0.2">
      <c r="A197" t="s">
        <v>440</v>
      </c>
      <c r="B197" s="151">
        <v>-112145.33</v>
      </c>
      <c r="E197" s="130"/>
    </row>
    <row r="198" spans="1:10" x14ac:dyDescent="0.2">
      <c r="A198" t="s">
        <v>531</v>
      </c>
      <c r="B198" s="14">
        <v>3862.78</v>
      </c>
      <c r="J198" s="68"/>
    </row>
    <row r="199" spans="1:10" x14ac:dyDescent="0.2">
      <c r="A199" t="s">
        <v>737</v>
      </c>
      <c r="B199" s="14"/>
      <c r="J199" s="68"/>
    </row>
    <row r="200" spans="1:10" x14ac:dyDescent="0.2">
      <c r="A200" t="s">
        <v>644</v>
      </c>
      <c r="B200" s="14"/>
    </row>
    <row r="201" spans="1:10" x14ac:dyDescent="0.2">
      <c r="B201" s="25"/>
      <c r="G201" s="68"/>
    </row>
    <row r="202" spans="1:10" x14ac:dyDescent="0.2">
      <c r="A202" t="s">
        <v>528</v>
      </c>
      <c r="B202" s="168">
        <v>24978.84</v>
      </c>
    </row>
    <row r="203" spans="1:10" x14ac:dyDescent="0.2">
      <c r="A203" t="s">
        <v>454</v>
      </c>
      <c r="B203" s="26"/>
    </row>
    <row r="204" spans="1:10" x14ac:dyDescent="0.2">
      <c r="D204" s="14"/>
    </row>
    <row r="205" spans="1:10" x14ac:dyDescent="0.2">
      <c r="A205" t="s">
        <v>441</v>
      </c>
      <c r="B205" s="26"/>
    </row>
    <row r="206" spans="1:10" x14ac:dyDescent="0.2">
      <c r="B206" s="14"/>
    </row>
    <row r="207" spans="1:10" ht="16" thickBot="1" x14ac:dyDescent="0.25">
      <c r="A207" s="27" t="s">
        <v>442</v>
      </c>
      <c r="B207" s="136">
        <f>SUM(B186:B206)</f>
        <v>-78146.260000000038</v>
      </c>
    </row>
    <row r="208" spans="1:10" ht="16" thickTop="1" x14ac:dyDescent="0.2">
      <c r="B208" s="14"/>
    </row>
    <row r="209" spans="2:2" x14ac:dyDescent="0.2">
      <c r="B209" s="14"/>
    </row>
    <row r="210" spans="2:2" x14ac:dyDescent="0.2">
      <c r="B210" s="14"/>
    </row>
    <row r="211" spans="2:2" x14ac:dyDescent="0.2">
      <c r="B211" s="14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FE05-3335-4A47-A8C3-5097216D9A5B}">
  <dimension ref="A1:G258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8.83203125" defaultRowHeight="15" x14ac:dyDescent="0.2"/>
  <cols>
    <col min="1" max="1" width="50.6640625" customWidth="1"/>
    <col min="2" max="2" width="11.1640625" customWidth="1"/>
    <col min="3" max="3" width="9.5" customWidth="1"/>
    <col min="4" max="5" width="11.1640625" customWidth="1"/>
    <col min="6" max="6" width="7.6640625" hidden="1" customWidth="1"/>
    <col min="7" max="7" width="12" customWidth="1"/>
  </cols>
  <sheetData>
    <row r="1" spans="1:7" ht="18" x14ac:dyDescent="0.2">
      <c r="A1" s="318" t="s">
        <v>65</v>
      </c>
      <c r="B1" s="319"/>
      <c r="C1" s="319"/>
      <c r="D1" s="319"/>
      <c r="E1" s="319"/>
      <c r="F1" s="319"/>
      <c r="G1" s="319"/>
    </row>
    <row r="2" spans="1:7" ht="18" x14ac:dyDescent="0.2">
      <c r="A2" s="318" t="s">
        <v>599</v>
      </c>
      <c r="B2" s="319"/>
      <c r="C2" s="319"/>
      <c r="D2" s="319"/>
      <c r="E2" s="319"/>
      <c r="F2" s="319"/>
      <c r="G2" s="319"/>
    </row>
    <row r="3" spans="1:7" x14ac:dyDescent="0.2">
      <c r="A3" s="320" t="s">
        <v>753</v>
      </c>
      <c r="B3" s="319"/>
      <c r="C3" s="319"/>
      <c r="D3" s="319"/>
      <c r="E3" s="319"/>
      <c r="F3" s="319"/>
      <c r="G3" s="319"/>
    </row>
    <row r="5" spans="1:7" ht="40" x14ac:dyDescent="0.2">
      <c r="A5" s="24"/>
      <c r="B5" s="23" t="s">
        <v>4</v>
      </c>
      <c r="C5" s="23" t="s">
        <v>5</v>
      </c>
      <c r="D5" s="23" t="s">
        <v>6</v>
      </c>
      <c r="E5" s="23" t="s">
        <v>583</v>
      </c>
      <c r="F5" s="23" t="s">
        <v>754</v>
      </c>
      <c r="G5" s="23" t="s">
        <v>7</v>
      </c>
    </row>
    <row r="6" spans="1:7" x14ac:dyDescent="0.2">
      <c r="A6" s="20" t="s">
        <v>0</v>
      </c>
      <c r="B6" s="21"/>
      <c r="C6" s="21"/>
      <c r="D6" s="21"/>
      <c r="E6" s="21"/>
      <c r="F6" s="21"/>
      <c r="G6" s="21"/>
    </row>
    <row r="7" spans="1:7" x14ac:dyDescent="0.2">
      <c r="A7" s="20" t="s">
        <v>214</v>
      </c>
      <c r="B7" s="21"/>
      <c r="C7" s="21"/>
      <c r="D7" s="21"/>
      <c r="E7" s="21"/>
      <c r="F7" s="21"/>
      <c r="G7" s="19">
        <f t="shared" ref="G7:G45" si="0">((((B7)+(C7))+(D7))+(E7))+(F7)</f>
        <v>0</v>
      </c>
    </row>
    <row r="8" spans="1:7" x14ac:dyDescent="0.2">
      <c r="A8" s="20" t="s">
        <v>215</v>
      </c>
      <c r="B8" s="21"/>
      <c r="C8" s="21"/>
      <c r="D8" s="21"/>
      <c r="E8" s="21"/>
      <c r="F8" s="21"/>
      <c r="G8" s="19">
        <f t="shared" si="0"/>
        <v>0</v>
      </c>
    </row>
    <row r="9" spans="1:7" x14ac:dyDescent="0.2">
      <c r="A9" s="20" t="s">
        <v>216</v>
      </c>
      <c r="B9" s="21"/>
      <c r="C9" s="21"/>
      <c r="D9" s="19">
        <f>146952.5</f>
        <v>146952.5</v>
      </c>
      <c r="E9" s="21"/>
      <c r="F9" s="21"/>
      <c r="G9" s="19">
        <f t="shared" si="0"/>
        <v>146952.5</v>
      </c>
    </row>
    <row r="10" spans="1:7" x14ac:dyDescent="0.2">
      <c r="A10" s="20" t="s">
        <v>217</v>
      </c>
      <c r="B10" s="21"/>
      <c r="C10" s="21"/>
      <c r="D10" s="19">
        <f>-64729.26</f>
        <v>-64729.26</v>
      </c>
      <c r="E10" s="21"/>
      <c r="F10" s="21"/>
      <c r="G10" s="19">
        <f t="shared" si="0"/>
        <v>-64729.26</v>
      </c>
    </row>
    <row r="11" spans="1:7" x14ac:dyDescent="0.2">
      <c r="A11" s="20" t="s">
        <v>218</v>
      </c>
      <c r="B11" s="22">
        <f>((B8)+(B9))+(B10)</f>
        <v>0</v>
      </c>
      <c r="C11" s="22">
        <f>((C8)+(C9))+(C10)</f>
        <v>0</v>
      </c>
      <c r="D11" s="22">
        <f>((D8)+(D9))+(D10)</f>
        <v>82223.239999999991</v>
      </c>
      <c r="E11" s="22">
        <f>((E8)+(E9))+(E10)</f>
        <v>0</v>
      </c>
      <c r="F11" s="22">
        <f>((F8)+(F9))+(F10)</f>
        <v>0</v>
      </c>
      <c r="G11" s="22">
        <f t="shared" si="0"/>
        <v>82223.239999999991</v>
      </c>
    </row>
    <row r="12" spans="1:7" x14ac:dyDescent="0.2">
      <c r="A12" s="20" t="s">
        <v>402</v>
      </c>
      <c r="B12" s="21"/>
      <c r="C12" s="21"/>
      <c r="D12" s="21"/>
      <c r="E12" s="21"/>
      <c r="F12" s="21"/>
      <c r="G12" s="19">
        <f t="shared" si="0"/>
        <v>0</v>
      </c>
    </row>
    <row r="13" spans="1:7" x14ac:dyDescent="0.2">
      <c r="A13" s="20" t="s">
        <v>219</v>
      </c>
      <c r="B13" s="21"/>
      <c r="C13" s="21"/>
      <c r="D13" s="21"/>
      <c r="E13" s="19">
        <f>169100</f>
        <v>169100</v>
      </c>
      <c r="F13" s="21"/>
      <c r="G13" s="19">
        <f t="shared" si="0"/>
        <v>169100</v>
      </c>
    </row>
    <row r="14" spans="1:7" x14ac:dyDescent="0.2">
      <c r="A14" s="20" t="s">
        <v>221</v>
      </c>
      <c r="B14" s="21"/>
      <c r="C14" s="21"/>
      <c r="D14" s="21"/>
      <c r="E14" s="19">
        <f>-71946.33</f>
        <v>-71946.33</v>
      </c>
      <c r="F14" s="21"/>
      <c r="G14" s="19">
        <f t="shared" si="0"/>
        <v>-71946.33</v>
      </c>
    </row>
    <row r="15" spans="1:7" x14ac:dyDescent="0.2">
      <c r="A15" s="20" t="s">
        <v>222</v>
      </c>
      <c r="B15" s="22">
        <f>(B13)+(B14)</f>
        <v>0</v>
      </c>
      <c r="C15" s="22">
        <f>(C13)+(C14)</f>
        <v>0</v>
      </c>
      <c r="D15" s="22">
        <f>(D13)+(D14)</f>
        <v>0</v>
      </c>
      <c r="E15" s="22">
        <f>(E13)+(E14)</f>
        <v>97153.67</v>
      </c>
      <c r="F15" s="22">
        <f>(F13)+(F14)</f>
        <v>0</v>
      </c>
      <c r="G15" s="22">
        <f t="shared" si="0"/>
        <v>97153.67</v>
      </c>
    </row>
    <row r="16" spans="1:7" x14ac:dyDescent="0.2">
      <c r="A16" s="20" t="s">
        <v>403</v>
      </c>
      <c r="B16" s="22">
        <f>(B12)+(B15)</f>
        <v>0</v>
      </c>
      <c r="C16" s="22">
        <f>(C12)+(C15)</f>
        <v>0</v>
      </c>
      <c r="D16" s="22">
        <f>(D12)+(D15)</f>
        <v>0</v>
      </c>
      <c r="E16" s="22">
        <f>(E12)+(E15)</f>
        <v>97153.67</v>
      </c>
      <c r="F16" s="22">
        <f>(F12)+(F15)</f>
        <v>0</v>
      </c>
      <c r="G16" s="22">
        <f t="shared" si="0"/>
        <v>97153.67</v>
      </c>
    </row>
    <row r="17" spans="1:7" x14ac:dyDescent="0.2">
      <c r="A17" s="20" t="s">
        <v>223</v>
      </c>
      <c r="B17" s="21"/>
      <c r="C17" s="21"/>
      <c r="D17" s="21"/>
      <c r="E17" s="21"/>
      <c r="F17" s="21"/>
      <c r="G17" s="19">
        <f t="shared" si="0"/>
        <v>0</v>
      </c>
    </row>
    <row r="18" spans="1:7" x14ac:dyDescent="0.2">
      <c r="A18" s="20" t="s">
        <v>227</v>
      </c>
      <c r="B18" s="21"/>
      <c r="C18" s="21"/>
      <c r="D18" s="21"/>
      <c r="E18" s="21"/>
      <c r="F18" s="21"/>
      <c r="G18" s="19">
        <f t="shared" si="0"/>
        <v>0</v>
      </c>
    </row>
    <row r="19" spans="1:7" x14ac:dyDescent="0.2">
      <c r="A19" s="20" t="s">
        <v>703</v>
      </c>
      <c r="B19" s="21"/>
      <c r="C19" s="21"/>
      <c r="D19" s="21"/>
      <c r="E19" s="19">
        <f>35000</f>
        <v>35000</v>
      </c>
      <c r="F19" s="21"/>
      <c r="G19" s="19">
        <f t="shared" si="0"/>
        <v>35000</v>
      </c>
    </row>
    <row r="20" spans="1:7" x14ac:dyDescent="0.2">
      <c r="A20" s="20" t="s">
        <v>664</v>
      </c>
      <c r="B20" s="21"/>
      <c r="C20" s="21"/>
      <c r="D20" s="21"/>
      <c r="E20" s="19">
        <f>5000</f>
        <v>5000</v>
      </c>
      <c r="F20" s="21"/>
      <c r="G20" s="19">
        <f t="shared" si="0"/>
        <v>5000</v>
      </c>
    </row>
    <row r="21" spans="1:7" x14ac:dyDescent="0.2">
      <c r="A21" s="20" t="s">
        <v>553</v>
      </c>
      <c r="B21" s="21"/>
      <c r="C21" s="21"/>
      <c r="D21" s="21"/>
      <c r="E21" s="19">
        <f>9.66</f>
        <v>9.66</v>
      </c>
      <c r="F21" s="21"/>
      <c r="G21" s="19">
        <f t="shared" si="0"/>
        <v>9.66</v>
      </c>
    </row>
    <row r="22" spans="1:7" x14ac:dyDescent="0.2">
      <c r="A22" s="20" t="s">
        <v>228</v>
      </c>
      <c r="B22" s="22">
        <f>(((B18)+(B19))+(B20))+(B21)</f>
        <v>0</v>
      </c>
      <c r="C22" s="22">
        <f>(((C18)+(C19))+(C20))+(C21)</f>
        <v>0</v>
      </c>
      <c r="D22" s="22">
        <f>(((D18)+(D19))+(D20))+(D21)</f>
        <v>0</v>
      </c>
      <c r="E22" s="22">
        <f>(((E18)+(E19))+(E20))+(E21)</f>
        <v>40009.660000000003</v>
      </c>
      <c r="F22" s="22">
        <f>(((F18)+(F19))+(F20))+(F21)</f>
        <v>0</v>
      </c>
      <c r="G22" s="22">
        <f t="shared" si="0"/>
        <v>40009.660000000003</v>
      </c>
    </row>
    <row r="23" spans="1:7" x14ac:dyDescent="0.2">
      <c r="A23" s="20" t="s">
        <v>229</v>
      </c>
      <c r="B23" s="22">
        <f>(B17)+(B22)</f>
        <v>0</v>
      </c>
      <c r="C23" s="22">
        <f>(C17)+(C22)</f>
        <v>0</v>
      </c>
      <c r="D23" s="22">
        <f>(D17)+(D22)</f>
        <v>0</v>
      </c>
      <c r="E23" s="22">
        <f>(E17)+(E22)</f>
        <v>40009.660000000003</v>
      </c>
      <c r="F23" s="22">
        <f>(F17)+(F22)</f>
        <v>0</v>
      </c>
      <c r="G23" s="22">
        <f t="shared" si="0"/>
        <v>40009.660000000003</v>
      </c>
    </row>
    <row r="24" spans="1:7" x14ac:dyDescent="0.2">
      <c r="A24" s="20" t="s">
        <v>230</v>
      </c>
      <c r="B24" s="22">
        <f>(((B7)+(B11))+(B16))+(B23)</f>
        <v>0</v>
      </c>
      <c r="C24" s="22">
        <f>(((C7)+(C11))+(C16))+(C23)</f>
        <v>0</v>
      </c>
      <c r="D24" s="22">
        <f>(((D7)+(D11))+(D16))+(D23)</f>
        <v>82223.239999999991</v>
      </c>
      <c r="E24" s="22">
        <f>(((E7)+(E11))+(E16))+(E23)</f>
        <v>137163.33000000002</v>
      </c>
      <c r="F24" s="22">
        <f>(((F7)+(F11))+(F16))+(F23)</f>
        <v>0</v>
      </c>
      <c r="G24" s="22">
        <f t="shared" si="0"/>
        <v>219386.57</v>
      </c>
    </row>
    <row r="25" spans="1:7" x14ac:dyDescent="0.2">
      <c r="A25" s="20" t="s">
        <v>231</v>
      </c>
      <c r="B25" s="21"/>
      <c r="C25" s="21"/>
      <c r="D25" s="21"/>
      <c r="E25" s="21"/>
      <c r="F25" s="21"/>
      <c r="G25" s="19">
        <f t="shared" si="0"/>
        <v>0</v>
      </c>
    </row>
    <row r="26" spans="1:7" x14ac:dyDescent="0.2">
      <c r="A26" s="20" t="s">
        <v>232</v>
      </c>
      <c r="B26" s="21"/>
      <c r="C26" s="21"/>
      <c r="D26" s="21"/>
      <c r="E26" s="21"/>
      <c r="F26" s="21"/>
      <c r="G26" s="19">
        <f t="shared" si="0"/>
        <v>0</v>
      </c>
    </row>
    <row r="27" spans="1:7" x14ac:dyDescent="0.2">
      <c r="A27" s="20" t="s">
        <v>233</v>
      </c>
      <c r="B27" s="19">
        <f>78820.45</f>
        <v>78820.45</v>
      </c>
      <c r="C27" s="21"/>
      <c r="D27" s="21"/>
      <c r="E27" s="21"/>
      <c r="F27" s="21"/>
      <c r="G27" s="19">
        <f t="shared" si="0"/>
        <v>78820.45</v>
      </c>
    </row>
    <row r="28" spans="1:7" x14ac:dyDescent="0.2">
      <c r="A28" s="20" t="s">
        <v>234</v>
      </c>
      <c r="B28" s="19">
        <f>19969.3</f>
        <v>19969.3</v>
      </c>
      <c r="C28" s="21"/>
      <c r="D28" s="21"/>
      <c r="E28" s="21"/>
      <c r="F28" s="21"/>
      <c r="G28" s="19">
        <f t="shared" si="0"/>
        <v>19969.3</v>
      </c>
    </row>
    <row r="29" spans="1:7" x14ac:dyDescent="0.2">
      <c r="A29" s="20" t="s">
        <v>482</v>
      </c>
      <c r="B29" s="19">
        <f>393.5</f>
        <v>393.5</v>
      </c>
      <c r="C29" s="21"/>
      <c r="D29" s="21"/>
      <c r="E29" s="21"/>
      <c r="F29" s="21"/>
      <c r="G29" s="19">
        <f t="shared" si="0"/>
        <v>393.5</v>
      </c>
    </row>
    <row r="30" spans="1:7" x14ac:dyDescent="0.2">
      <c r="A30" s="20" t="s">
        <v>235</v>
      </c>
      <c r="B30" s="22">
        <f>(((B26)+(B27))+(B28))+(B29)</f>
        <v>99183.25</v>
      </c>
      <c r="C30" s="22">
        <f>(((C26)+(C27))+(C28))+(C29)</f>
        <v>0</v>
      </c>
      <c r="D30" s="22">
        <f>(((D26)+(D27))+(D28))+(D29)</f>
        <v>0</v>
      </c>
      <c r="E30" s="22">
        <f>(((E26)+(E27))+(E28))+(E29)</f>
        <v>0</v>
      </c>
      <c r="F30" s="22">
        <f>(((F26)+(F27))+(F28))+(F29)</f>
        <v>0</v>
      </c>
      <c r="G30" s="22">
        <f t="shared" si="0"/>
        <v>99183.25</v>
      </c>
    </row>
    <row r="31" spans="1:7" x14ac:dyDescent="0.2">
      <c r="A31" s="20" t="s">
        <v>236</v>
      </c>
      <c r="B31" s="21"/>
      <c r="C31" s="21"/>
      <c r="D31" s="21"/>
      <c r="E31" s="21"/>
      <c r="F31" s="21"/>
      <c r="G31" s="19">
        <f t="shared" si="0"/>
        <v>0</v>
      </c>
    </row>
    <row r="32" spans="1:7" x14ac:dyDescent="0.2">
      <c r="A32" s="20" t="s">
        <v>237</v>
      </c>
      <c r="B32" s="21"/>
      <c r="C32" s="21"/>
      <c r="D32" s="21"/>
      <c r="E32" s="21"/>
      <c r="F32" s="21"/>
      <c r="G32" s="19">
        <f t="shared" si="0"/>
        <v>0</v>
      </c>
    </row>
    <row r="33" spans="1:7" x14ac:dyDescent="0.2">
      <c r="A33" s="20" t="s">
        <v>399</v>
      </c>
      <c r="B33" s="19">
        <f>20279.5</f>
        <v>20279.5</v>
      </c>
      <c r="C33" s="21"/>
      <c r="D33" s="21"/>
      <c r="E33" s="21"/>
      <c r="F33" s="21"/>
      <c r="G33" s="19">
        <f t="shared" si="0"/>
        <v>20279.5</v>
      </c>
    </row>
    <row r="34" spans="1:7" x14ac:dyDescent="0.2">
      <c r="A34" s="20" t="s">
        <v>238</v>
      </c>
      <c r="B34" s="19">
        <f>6000</f>
        <v>6000</v>
      </c>
      <c r="C34" s="21"/>
      <c r="D34" s="21"/>
      <c r="E34" s="21"/>
      <c r="F34" s="21"/>
      <c r="G34" s="19">
        <f t="shared" si="0"/>
        <v>6000</v>
      </c>
    </row>
    <row r="35" spans="1:7" x14ac:dyDescent="0.2">
      <c r="A35" s="20" t="s">
        <v>239</v>
      </c>
      <c r="B35" s="19">
        <f>15000</f>
        <v>15000</v>
      </c>
      <c r="C35" s="21"/>
      <c r="D35" s="21"/>
      <c r="E35" s="21"/>
      <c r="F35" s="21"/>
      <c r="G35" s="19">
        <f t="shared" si="0"/>
        <v>15000</v>
      </c>
    </row>
    <row r="36" spans="1:7" x14ac:dyDescent="0.2">
      <c r="A36" s="20" t="s">
        <v>414</v>
      </c>
      <c r="B36" s="19">
        <f>3443</f>
        <v>3443</v>
      </c>
      <c r="C36" s="21"/>
      <c r="D36" s="21"/>
      <c r="E36" s="21"/>
      <c r="F36" s="21"/>
      <c r="G36" s="19">
        <f t="shared" si="0"/>
        <v>3443</v>
      </c>
    </row>
    <row r="37" spans="1:7" x14ac:dyDescent="0.2">
      <c r="A37" s="20" t="s">
        <v>320</v>
      </c>
      <c r="B37" s="19">
        <f>60000</f>
        <v>60000</v>
      </c>
      <c r="C37" s="21"/>
      <c r="D37" s="21"/>
      <c r="E37" s="21"/>
      <c r="F37" s="21"/>
      <c r="G37" s="19">
        <f t="shared" si="0"/>
        <v>60000</v>
      </c>
    </row>
    <row r="38" spans="1:7" x14ac:dyDescent="0.2">
      <c r="A38" s="20" t="s">
        <v>240</v>
      </c>
      <c r="B38" s="22">
        <f>(((((B32)+(B33))+(B34))+(B35))+(B36))+(B37)</f>
        <v>104722.5</v>
      </c>
      <c r="C38" s="22">
        <f>(((((C32)+(C33))+(C34))+(C35))+(C36))+(C37)</f>
        <v>0</v>
      </c>
      <c r="D38" s="22">
        <f>(((((D32)+(D33))+(D34))+(D35))+(D36))+(D37)</f>
        <v>0</v>
      </c>
      <c r="E38" s="22">
        <f>(((((E32)+(E33))+(E34))+(E35))+(E36))+(E37)</f>
        <v>0</v>
      </c>
      <c r="F38" s="22">
        <f>(((((F32)+(F33))+(F34))+(F35))+(F36))+(F37)</f>
        <v>0</v>
      </c>
      <c r="G38" s="22">
        <f t="shared" si="0"/>
        <v>104722.5</v>
      </c>
    </row>
    <row r="39" spans="1:7" x14ac:dyDescent="0.2">
      <c r="A39" s="20" t="s">
        <v>676</v>
      </c>
      <c r="B39" s="19">
        <f>10352.72</f>
        <v>10352.719999999999</v>
      </c>
      <c r="C39" s="21"/>
      <c r="D39" s="21"/>
      <c r="E39" s="21"/>
      <c r="F39" s="21"/>
      <c r="G39" s="19">
        <f t="shared" si="0"/>
        <v>10352.719999999999</v>
      </c>
    </row>
    <row r="40" spans="1:7" x14ac:dyDescent="0.2">
      <c r="A40" s="20" t="s">
        <v>322</v>
      </c>
      <c r="B40" s="19">
        <f>1130.8</f>
        <v>1130.8</v>
      </c>
      <c r="C40" s="21"/>
      <c r="D40" s="21"/>
      <c r="E40" s="21"/>
      <c r="F40" s="21"/>
      <c r="G40" s="19">
        <f t="shared" si="0"/>
        <v>1130.8</v>
      </c>
    </row>
    <row r="41" spans="1:7" x14ac:dyDescent="0.2">
      <c r="A41" s="20" t="s">
        <v>242</v>
      </c>
      <c r="B41" s="22">
        <f>(((B31)+(B38))+(B39))+(B40)</f>
        <v>116206.02</v>
      </c>
      <c r="C41" s="22">
        <f>(((C31)+(C38))+(C39))+(C40)</f>
        <v>0</v>
      </c>
      <c r="D41" s="22">
        <f>(((D31)+(D38))+(D39))+(D40)</f>
        <v>0</v>
      </c>
      <c r="E41" s="22">
        <f>(((E31)+(E38))+(E39))+(E40)</f>
        <v>0</v>
      </c>
      <c r="F41" s="22">
        <f>(((F31)+(F38))+(F39))+(F40)</f>
        <v>0</v>
      </c>
      <c r="G41" s="22">
        <f t="shared" si="0"/>
        <v>116206.02</v>
      </c>
    </row>
    <row r="42" spans="1:7" x14ac:dyDescent="0.2">
      <c r="A42" s="20" t="s">
        <v>659</v>
      </c>
      <c r="B42" s="19">
        <f>408</f>
        <v>408</v>
      </c>
      <c r="C42" s="21"/>
      <c r="D42" s="21"/>
      <c r="E42" s="21"/>
      <c r="F42" s="21"/>
      <c r="G42" s="19">
        <f t="shared" si="0"/>
        <v>408</v>
      </c>
    </row>
    <row r="43" spans="1:7" x14ac:dyDescent="0.2">
      <c r="A43" s="20" t="s">
        <v>243</v>
      </c>
      <c r="B43" s="22">
        <f>(((B25)+(B30))+(B41))+(B42)</f>
        <v>215797.27000000002</v>
      </c>
      <c r="C43" s="22">
        <f>(((C25)+(C30))+(C41))+(C42)</f>
        <v>0</v>
      </c>
      <c r="D43" s="22">
        <f>(((D25)+(D30))+(D41))+(D42)</f>
        <v>0</v>
      </c>
      <c r="E43" s="22">
        <f>(((E25)+(E30))+(E41))+(E42)</f>
        <v>0</v>
      </c>
      <c r="F43" s="22">
        <f>(((F25)+(F30))+(F41))+(F42)</f>
        <v>0</v>
      </c>
      <c r="G43" s="22">
        <f t="shared" si="0"/>
        <v>215797.27000000002</v>
      </c>
    </row>
    <row r="44" spans="1:7" x14ac:dyDescent="0.2">
      <c r="A44" s="20" t="s">
        <v>1</v>
      </c>
      <c r="B44" s="22">
        <f>(B24)+(B43)</f>
        <v>215797.27000000002</v>
      </c>
      <c r="C44" s="22">
        <f>(C24)+(C43)</f>
        <v>0</v>
      </c>
      <c r="D44" s="22">
        <f>(D24)+(D43)</f>
        <v>82223.239999999991</v>
      </c>
      <c r="E44" s="22">
        <f>(E24)+(E43)</f>
        <v>137163.33000000002</v>
      </c>
      <c r="F44" s="22">
        <f>(F24)+(F43)</f>
        <v>0</v>
      </c>
      <c r="G44" s="22">
        <f t="shared" si="0"/>
        <v>435183.84</v>
      </c>
    </row>
    <row r="45" spans="1:7" x14ac:dyDescent="0.2">
      <c r="A45" s="20" t="s">
        <v>2</v>
      </c>
      <c r="B45" s="22">
        <f>(B44)-(0)</f>
        <v>215797.27000000002</v>
      </c>
      <c r="C45" s="22">
        <f>(C44)-(0)</f>
        <v>0</v>
      </c>
      <c r="D45" s="22">
        <f>(D44)-(0)</f>
        <v>82223.239999999991</v>
      </c>
      <c r="E45" s="22">
        <f>(E44)-(0)</f>
        <v>137163.33000000002</v>
      </c>
      <c r="F45" s="22">
        <f>(F44)-(0)</f>
        <v>0</v>
      </c>
      <c r="G45" s="22">
        <f t="shared" si="0"/>
        <v>435183.84</v>
      </c>
    </row>
    <row r="46" spans="1:7" x14ac:dyDescent="0.2">
      <c r="A46" s="20" t="s">
        <v>244</v>
      </c>
      <c r="B46" s="21"/>
      <c r="C46" s="21"/>
      <c r="D46" s="21"/>
      <c r="E46" s="21"/>
      <c r="F46" s="21"/>
      <c r="G46" s="21"/>
    </row>
    <row r="47" spans="1:7" x14ac:dyDescent="0.2">
      <c r="A47" s="20" t="s">
        <v>245</v>
      </c>
      <c r="B47" s="21"/>
      <c r="C47" s="21"/>
      <c r="D47" s="21"/>
      <c r="E47" s="21"/>
      <c r="F47" s="21"/>
      <c r="G47" s="19">
        <f t="shared" ref="G47:G110" si="1">((((B47)+(C47))+(D47))+(E47))+(F47)</f>
        <v>0</v>
      </c>
    </row>
    <row r="48" spans="1:7" x14ac:dyDescent="0.2">
      <c r="A48" s="20" t="s">
        <v>721</v>
      </c>
      <c r="B48" s="21"/>
      <c r="C48" s="21"/>
      <c r="D48" s="21"/>
      <c r="E48" s="21"/>
      <c r="F48" s="21"/>
      <c r="G48" s="19">
        <f t="shared" si="1"/>
        <v>0</v>
      </c>
    </row>
    <row r="49" spans="1:7" x14ac:dyDescent="0.2">
      <c r="A49" s="20" t="s">
        <v>711</v>
      </c>
      <c r="B49" s="19">
        <f>0</f>
        <v>0</v>
      </c>
      <c r="C49" s="21"/>
      <c r="D49" s="21"/>
      <c r="E49" s="21"/>
      <c r="F49" s="21"/>
      <c r="G49" s="19">
        <f t="shared" si="1"/>
        <v>0</v>
      </c>
    </row>
    <row r="50" spans="1:7" x14ac:dyDescent="0.2">
      <c r="A50" s="20" t="s">
        <v>712</v>
      </c>
      <c r="B50" s="19">
        <f>0</f>
        <v>0</v>
      </c>
      <c r="C50" s="21"/>
      <c r="D50" s="21"/>
      <c r="E50" s="21"/>
      <c r="F50" s="21"/>
      <c r="G50" s="19">
        <f t="shared" si="1"/>
        <v>0</v>
      </c>
    </row>
    <row r="51" spans="1:7" x14ac:dyDescent="0.2">
      <c r="A51" s="20" t="s">
        <v>713</v>
      </c>
      <c r="B51" s="19">
        <f>0</f>
        <v>0</v>
      </c>
      <c r="C51" s="21"/>
      <c r="D51" s="21"/>
      <c r="E51" s="21"/>
      <c r="F51" s="21"/>
      <c r="G51" s="19">
        <f t="shared" si="1"/>
        <v>0</v>
      </c>
    </row>
    <row r="52" spans="1:7" x14ac:dyDescent="0.2">
      <c r="A52" s="20" t="s">
        <v>714</v>
      </c>
      <c r="B52" s="19">
        <f>2600</f>
        <v>2600</v>
      </c>
      <c r="C52" s="21"/>
      <c r="D52" s="21"/>
      <c r="E52" s="21"/>
      <c r="F52" s="21"/>
      <c r="G52" s="19">
        <f t="shared" si="1"/>
        <v>2600</v>
      </c>
    </row>
    <row r="53" spans="1:7" x14ac:dyDescent="0.2">
      <c r="A53" s="20" t="s">
        <v>715</v>
      </c>
      <c r="B53" s="19">
        <f>0</f>
        <v>0</v>
      </c>
      <c r="C53" s="21"/>
      <c r="D53" s="21"/>
      <c r="E53" s="21"/>
      <c r="F53" s="21"/>
      <c r="G53" s="19">
        <f t="shared" si="1"/>
        <v>0</v>
      </c>
    </row>
    <row r="54" spans="1:7" x14ac:dyDescent="0.2">
      <c r="A54" s="20" t="s">
        <v>716</v>
      </c>
      <c r="B54" s="19">
        <f>2265</f>
        <v>2265</v>
      </c>
      <c r="C54" s="21"/>
      <c r="D54" s="21"/>
      <c r="E54" s="21"/>
      <c r="F54" s="21"/>
      <c r="G54" s="19">
        <f t="shared" si="1"/>
        <v>2265</v>
      </c>
    </row>
    <row r="55" spans="1:7" x14ac:dyDescent="0.2">
      <c r="A55" s="20" t="s">
        <v>717</v>
      </c>
      <c r="B55" s="19">
        <f>1511.25</f>
        <v>1511.25</v>
      </c>
      <c r="C55" s="21"/>
      <c r="D55" s="21"/>
      <c r="E55" s="21"/>
      <c r="F55" s="21"/>
      <c r="G55" s="19">
        <f t="shared" si="1"/>
        <v>1511.25</v>
      </c>
    </row>
    <row r="56" spans="1:7" x14ac:dyDescent="0.2">
      <c r="A56" s="20" t="s">
        <v>718</v>
      </c>
      <c r="B56" s="19">
        <f>2100</f>
        <v>2100</v>
      </c>
      <c r="C56" s="21"/>
      <c r="D56" s="21"/>
      <c r="E56" s="21"/>
      <c r="F56" s="21"/>
      <c r="G56" s="19">
        <f t="shared" si="1"/>
        <v>2100</v>
      </c>
    </row>
    <row r="57" spans="1:7" x14ac:dyDescent="0.2">
      <c r="A57" s="20" t="s">
        <v>688</v>
      </c>
      <c r="B57" s="19">
        <f>27880</f>
        <v>27880</v>
      </c>
      <c r="C57" s="21"/>
      <c r="D57" s="21"/>
      <c r="E57" s="21"/>
      <c r="F57" s="21"/>
      <c r="G57" s="19">
        <f t="shared" si="1"/>
        <v>27880</v>
      </c>
    </row>
    <row r="58" spans="1:7" x14ac:dyDescent="0.2">
      <c r="A58" s="20" t="s">
        <v>702</v>
      </c>
      <c r="B58" s="19">
        <f>27815.66</f>
        <v>27815.66</v>
      </c>
      <c r="C58" s="21"/>
      <c r="D58" s="21"/>
      <c r="E58" s="21"/>
      <c r="F58" s="21"/>
      <c r="G58" s="19">
        <f t="shared" si="1"/>
        <v>27815.66</v>
      </c>
    </row>
    <row r="59" spans="1:7" x14ac:dyDescent="0.2">
      <c r="A59" s="20" t="s">
        <v>719</v>
      </c>
      <c r="B59" s="19">
        <f>931.66</f>
        <v>931.66</v>
      </c>
      <c r="C59" s="21"/>
      <c r="D59" s="21"/>
      <c r="E59" s="21"/>
      <c r="F59" s="21"/>
      <c r="G59" s="19">
        <f t="shared" si="1"/>
        <v>931.66</v>
      </c>
    </row>
    <row r="60" spans="1:7" x14ac:dyDescent="0.2">
      <c r="A60" s="20" t="s">
        <v>755</v>
      </c>
      <c r="B60" s="19">
        <f>1200</f>
        <v>1200</v>
      </c>
      <c r="C60" s="21"/>
      <c r="D60" s="21"/>
      <c r="E60" s="21"/>
      <c r="F60" s="21"/>
      <c r="G60" s="19">
        <f t="shared" si="1"/>
        <v>1200</v>
      </c>
    </row>
    <row r="61" spans="1:7" x14ac:dyDescent="0.2">
      <c r="A61" s="20" t="s">
        <v>722</v>
      </c>
      <c r="B61" s="19">
        <f>8850</f>
        <v>8850</v>
      </c>
      <c r="C61" s="21"/>
      <c r="D61" s="21"/>
      <c r="E61" s="21"/>
      <c r="F61" s="21"/>
      <c r="G61" s="19">
        <f t="shared" si="1"/>
        <v>8850</v>
      </c>
    </row>
    <row r="62" spans="1:7" x14ac:dyDescent="0.2">
      <c r="A62" s="20" t="s">
        <v>723</v>
      </c>
      <c r="B62" s="19">
        <f>5000</f>
        <v>5000</v>
      </c>
      <c r="C62" s="21"/>
      <c r="D62" s="21"/>
      <c r="E62" s="21"/>
      <c r="F62" s="21"/>
      <c r="G62" s="19">
        <f t="shared" si="1"/>
        <v>5000</v>
      </c>
    </row>
    <row r="63" spans="1:7" x14ac:dyDescent="0.2">
      <c r="A63" s="20" t="s">
        <v>724</v>
      </c>
      <c r="B63" s="22">
        <f>(((((((((((((B49)+(B50))+(B51))+(B52))+(B53))+(B54))+(B55))+(B56))+(B57))+(B58))+(B59))+(B60))+(B61))+(B62)</f>
        <v>80153.570000000007</v>
      </c>
      <c r="C63" s="22">
        <f>(((((((((((((C49)+(C50))+(C51))+(C52))+(C53))+(C54))+(C55))+(C56))+(C57))+(C58))+(C59))+(C60))+(C61))+(C62)</f>
        <v>0</v>
      </c>
      <c r="D63" s="22">
        <f>(((((((((((((D49)+(D50))+(D51))+(D52))+(D53))+(D54))+(D55))+(D56))+(D57))+(D58))+(D59))+(D60))+(D61))+(D62)</f>
        <v>0</v>
      </c>
      <c r="E63" s="22">
        <f>(((((((((((((E49)+(E50))+(E51))+(E52))+(E53))+(E54))+(E55))+(E56))+(E57))+(E58))+(E59))+(E60))+(E61))+(E62)</f>
        <v>0</v>
      </c>
      <c r="F63" s="22">
        <f>(((((((((((((F49)+(F50))+(F51))+(F52))+(F53))+(F54))+(F55))+(F56))+(F57))+(F58))+(F59))+(F60))+(F61))+(F62)</f>
        <v>0</v>
      </c>
      <c r="G63" s="22">
        <f t="shared" si="1"/>
        <v>80153.570000000007</v>
      </c>
    </row>
    <row r="64" spans="1:7" x14ac:dyDescent="0.2">
      <c r="A64" s="20" t="s">
        <v>312</v>
      </c>
      <c r="B64" s="21"/>
      <c r="C64" s="21"/>
      <c r="D64" s="21"/>
      <c r="E64" s="21"/>
      <c r="F64" s="21"/>
      <c r="G64" s="19">
        <f t="shared" si="1"/>
        <v>0</v>
      </c>
    </row>
    <row r="65" spans="1:7" x14ac:dyDescent="0.2">
      <c r="A65" s="20" t="s">
        <v>638</v>
      </c>
      <c r="B65" s="19">
        <f>10968.75</f>
        <v>10968.75</v>
      </c>
      <c r="C65" s="21"/>
      <c r="D65" s="21"/>
      <c r="E65" s="21"/>
      <c r="F65" s="21"/>
      <c r="G65" s="19">
        <f t="shared" si="1"/>
        <v>10968.75</v>
      </c>
    </row>
    <row r="66" spans="1:7" x14ac:dyDescent="0.2">
      <c r="A66" s="20" t="s">
        <v>313</v>
      </c>
      <c r="B66" s="19">
        <f>0</f>
        <v>0</v>
      </c>
      <c r="C66" s="21"/>
      <c r="D66" s="21"/>
      <c r="E66" s="21"/>
      <c r="F66" s="21"/>
      <c r="G66" s="19">
        <f t="shared" si="1"/>
        <v>0</v>
      </c>
    </row>
    <row r="67" spans="1:7" x14ac:dyDescent="0.2">
      <c r="A67" s="20" t="s">
        <v>314</v>
      </c>
      <c r="B67" s="19">
        <f>48461.57</f>
        <v>48461.57</v>
      </c>
      <c r="C67" s="21"/>
      <c r="D67" s="21"/>
      <c r="E67" s="21"/>
      <c r="F67" s="21"/>
      <c r="G67" s="19">
        <f t="shared" si="1"/>
        <v>48461.57</v>
      </c>
    </row>
    <row r="68" spans="1:7" x14ac:dyDescent="0.2">
      <c r="A68" s="20" t="s">
        <v>658</v>
      </c>
      <c r="B68" s="19">
        <f>2869.65</f>
        <v>2869.65</v>
      </c>
      <c r="C68" s="21"/>
      <c r="D68" s="21"/>
      <c r="E68" s="21"/>
      <c r="F68" s="21"/>
      <c r="G68" s="19">
        <f t="shared" si="1"/>
        <v>2869.65</v>
      </c>
    </row>
    <row r="69" spans="1:7" x14ac:dyDescent="0.2">
      <c r="A69" s="20" t="s">
        <v>720</v>
      </c>
      <c r="B69" s="19">
        <f>268.75</f>
        <v>268.75</v>
      </c>
      <c r="C69" s="21"/>
      <c r="D69" s="21"/>
      <c r="E69" s="21"/>
      <c r="F69" s="21"/>
      <c r="G69" s="19">
        <f t="shared" si="1"/>
        <v>268.75</v>
      </c>
    </row>
    <row r="70" spans="1:7" x14ac:dyDescent="0.2">
      <c r="A70" s="20" t="s">
        <v>725</v>
      </c>
      <c r="B70" s="22">
        <f>(((B66)+(B67))+(B68))+(B69)</f>
        <v>51599.97</v>
      </c>
      <c r="C70" s="22">
        <f>(((C66)+(C67))+(C68))+(C69)</f>
        <v>0</v>
      </c>
      <c r="D70" s="22">
        <f>(((D66)+(D67))+(D68))+(D69)</f>
        <v>0</v>
      </c>
      <c r="E70" s="22">
        <f>(((E66)+(E67))+(E68))+(E69)</f>
        <v>0</v>
      </c>
      <c r="F70" s="22">
        <f>(((F66)+(F67))+(F68))+(F69)</f>
        <v>0</v>
      </c>
      <c r="G70" s="22">
        <f t="shared" si="1"/>
        <v>51599.97</v>
      </c>
    </row>
    <row r="71" spans="1:7" x14ac:dyDescent="0.2">
      <c r="A71" s="20" t="s">
        <v>459</v>
      </c>
      <c r="B71" s="21"/>
      <c r="C71" s="21"/>
      <c r="D71" s="21"/>
      <c r="E71" s="21"/>
      <c r="F71" s="21"/>
      <c r="G71" s="19">
        <f t="shared" si="1"/>
        <v>0</v>
      </c>
    </row>
    <row r="72" spans="1:7" x14ac:dyDescent="0.2">
      <c r="A72" s="20" t="s">
        <v>460</v>
      </c>
      <c r="B72" s="19">
        <f>303.05</f>
        <v>303.05</v>
      </c>
      <c r="C72" s="21"/>
      <c r="D72" s="21"/>
      <c r="E72" s="21"/>
      <c r="F72" s="21"/>
      <c r="G72" s="19">
        <f t="shared" si="1"/>
        <v>303.05</v>
      </c>
    </row>
    <row r="73" spans="1:7" x14ac:dyDescent="0.2">
      <c r="A73" s="20" t="s">
        <v>726</v>
      </c>
      <c r="B73" s="22">
        <f>(B71)+(B72)</f>
        <v>303.05</v>
      </c>
      <c r="C73" s="22">
        <f>(C71)+(C72)</f>
        <v>0</v>
      </c>
      <c r="D73" s="22">
        <f>(D71)+(D72)</f>
        <v>0</v>
      </c>
      <c r="E73" s="22">
        <f>(E71)+(E72)</f>
        <v>0</v>
      </c>
      <c r="F73" s="22">
        <f>(F71)+(F72)</f>
        <v>0</v>
      </c>
      <c r="G73" s="22">
        <f t="shared" si="1"/>
        <v>303.05</v>
      </c>
    </row>
    <row r="74" spans="1:7" x14ac:dyDescent="0.2">
      <c r="A74" s="20" t="s">
        <v>727</v>
      </c>
      <c r="B74" s="22">
        <f>(((B64)+(B65))+(B70))+(B73)</f>
        <v>62871.770000000004</v>
      </c>
      <c r="C74" s="22">
        <f>(((C64)+(C65))+(C70))+(C73)</f>
        <v>0</v>
      </c>
      <c r="D74" s="22">
        <f>(((D64)+(D65))+(D70))+(D73)</f>
        <v>0</v>
      </c>
      <c r="E74" s="22">
        <f>(((E64)+(E65))+(E70))+(E73)</f>
        <v>0</v>
      </c>
      <c r="F74" s="22">
        <f>(((F64)+(F65))+(F70))+(F73)</f>
        <v>0</v>
      </c>
      <c r="G74" s="22">
        <f t="shared" si="1"/>
        <v>62871.770000000004</v>
      </c>
    </row>
    <row r="75" spans="1:7" x14ac:dyDescent="0.2">
      <c r="A75" s="20" t="s">
        <v>315</v>
      </c>
      <c r="B75" s="21"/>
      <c r="C75" s="21"/>
      <c r="D75" s="21"/>
      <c r="E75" s="21"/>
      <c r="F75" s="21"/>
      <c r="G75" s="19">
        <f t="shared" si="1"/>
        <v>0</v>
      </c>
    </row>
    <row r="76" spans="1:7" x14ac:dyDescent="0.2">
      <c r="A76" s="20" t="s">
        <v>670</v>
      </c>
      <c r="B76" s="19">
        <f>6245.43</f>
        <v>6245.43</v>
      </c>
      <c r="C76" s="21"/>
      <c r="D76" s="21"/>
      <c r="E76" s="21"/>
      <c r="F76" s="21"/>
      <c r="G76" s="19">
        <f t="shared" si="1"/>
        <v>6245.43</v>
      </c>
    </row>
    <row r="77" spans="1:7" x14ac:dyDescent="0.2">
      <c r="A77" s="20" t="s">
        <v>468</v>
      </c>
      <c r="B77" s="19">
        <f>14828.12</f>
        <v>14828.12</v>
      </c>
      <c r="C77" s="21"/>
      <c r="D77" s="21"/>
      <c r="E77" s="21"/>
      <c r="F77" s="21"/>
      <c r="G77" s="19">
        <f t="shared" si="1"/>
        <v>14828.12</v>
      </c>
    </row>
    <row r="78" spans="1:7" x14ac:dyDescent="0.2">
      <c r="A78" s="20" t="s">
        <v>671</v>
      </c>
      <c r="B78" s="21"/>
      <c r="C78" s="21"/>
      <c r="D78" s="21"/>
      <c r="E78" s="21"/>
      <c r="F78" s="21"/>
      <c r="G78" s="19">
        <f t="shared" si="1"/>
        <v>0</v>
      </c>
    </row>
    <row r="79" spans="1:7" x14ac:dyDescent="0.2">
      <c r="A79" s="20" t="s">
        <v>672</v>
      </c>
      <c r="B79" s="19">
        <f>8330.22</f>
        <v>8330.2199999999993</v>
      </c>
      <c r="C79" s="21"/>
      <c r="D79" s="21"/>
      <c r="E79" s="21"/>
      <c r="F79" s="21"/>
      <c r="G79" s="19">
        <f t="shared" si="1"/>
        <v>8330.2199999999993</v>
      </c>
    </row>
    <row r="80" spans="1:7" x14ac:dyDescent="0.2">
      <c r="A80" s="20" t="s">
        <v>728</v>
      </c>
      <c r="B80" s="22">
        <f>(B78)+(B79)</f>
        <v>8330.2199999999993</v>
      </c>
      <c r="C80" s="22">
        <f>(C78)+(C79)</f>
        <v>0</v>
      </c>
      <c r="D80" s="22">
        <f>(D78)+(D79)</f>
        <v>0</v>
      </c>
      <c r="E80" s="22">
        <f>(E78)+(E79)</f>
        <v>0</v>
      </c>
      <c r="F80" s="22">
        <f>(F78)+(F79)</f>
        <v>0</v>
      </c>
      <c r="G80" s="22">
        <f t="shared" si="1"/>
        <v>8330.2199999999993</v>
      </c>
    </row>
    <row r="81" spans="1:7" x14ac:dyDescent="0.2">
      <c r="A81" s="20" t="s">
        <v>617</v>
      </c>
      <c r="B81" s="19">
        <f>1465</f>
        <v>1465</v>
      </c>
      <c r="C81" s="21"/>
      <c r="D81" s="21"/>
      <c r="E81" s="21"/>
      <c r="F81" s="21"/>
      <c r="G81" s="19">
        <f t="shared" si="1"/>
        <v>1465</v>
      </c>
    </row>
    <row r="82" spans="1:7" x14ac:dyDescent="0.2">
      <c r="A82" s="20" t="s">
        <v>457</v>
      </c>
      <c r="B82" s="19">
        <f>1626.51</f>
        <v>1626.51</v>
      </c>
      <c r="C82" s="21"/>
      <c r="D82" s="21"/>
      <c r="E82" s="21"/>
      <c r="F82" s="21"/>
      <c r="G82" s="19">
        <f t="shared" si="1"/>
        <v>1626.51</v>
      </c>
    </row>
    <row r="83" spans="1:7" x14ac:dyDescent="0.2">
      <c r="A83" s="20" t="s">
        <v>576</v>
      </c>
      <c r="B83" s="19">
        <f>795.02</f>
        <v>795.02</v>
      </c>
      <c r="C83" s="21"/>
      <c r="D83" s="21"/>
      <c r="E83" s="21"/>
      <c r="F83" s="21"/>
      <c r="G83" s="19">
        <f t="shared" si="1"/>
        <v>795.02</v>
      </c>
    </row>
    <row r="84" spans="1:7" x14ac:dyDescent="0.2">
      <c r="A84" s="20" t="s">
        <v>729</v>
      </c>
      <c r="B84" s="22">
        <f>((((((B75)+(B76))+(B77))+(B80))+(B81))+(B82))+(B83)</f>
        <v>33290.300000000003</v>
      </c>
      <c r="C84" s="22">
        <f>((((((C75)+(C76))+(C77))+(C80))+(C81))+(C82))+(C83)</f>
        <v>0</v>
      </c>
      <c r="D84" s="22">
        <f>((((((D75)+(D76))+(D77))+(D80))+(D81))+(D82))+(D83)</f>
        <v>0</v>
      </c>
      <c r="E84" s="22">
        <f>((((((E75)+(E76))+(E77))+(E80))+(E81))+(E82))+(E83)</f>
        <v>0</v>
      </c>
      <c r="F84" s="22">
        <f>((((((F75)+(F76))+(F77))+(F80))+(F81))+(F82))+(F83)</f>
        <v>0</v>
      </c>
      <c r="G84" s="22">
        <f t="shared" si="1"/>
        <v>33290.300000000003</v>
      </c>
    </row>
    <row r="85" spans="1:7" x14ac:dyDescent="0.2">
      <c r="A85" s="20" t="s">
        <v>730</v>
      </c>
      <c r="B85" s="22">
        <f>(((B48)+(B63))+(B74))+(B84)</f>
        <v>176315.64</v>
      </c>
      <c r="C85" s="22">
        <f>(((C48)+(C63))+(C74))+(C84)</f>
        <v>0</v>
      </c>
      <c r="D85" s="22">
        <f>(((D48)+(D63))+(D74))+(D84)</f>
        <v>0</v>
      </c>
      <c r="E85" s="22">
        <f>(((E48)+(E63))+(E74))+(E84)</f>
        <v>0</v>
      </c>
      <c r="F85" s="22">
        <f>(((F48)+(F63))+(F74))+(F84)</f>
        <v>0</v>
      </c>
      <c r="G85" s="22">
        <f t="shared" si="1"/>
        <v>176315.64</v>
      </c>
    </row>
    <row r="86" spans="1:7" x14ac:dyDescent="0.2">
      <c r="A86" s="20" t="s">
        <v>255</v>
      </c>
      <c r="B86" s="21"/>
      <c r="C86" s="21"/>
      <c r="D86" s="21"/>
      <c r="E86" s="21"/>
      <c r="F86" s="21"/>
      <c r="G86" s="19">
        <f t="shared" si="1"/>
        <v>0</v>
      </c>
    </row>
    <row r="87" spans="1:7" x14ac:dyDescent="0.2">
      <c r="A87" s="20" t="s">
        <v>756</v>
      </c>
      <c r="B87" s="21"/>
      <c r="C87" s="21"/>
      <c r="D87" s="21"/>
      <c r="E87" s="21"/>
      <c r="F87" s="19"/>
      <c r="G87" s="19">
        <f t="shared" si="1"/>
        <v>0</v>
      </c>
    </row>
    <row r="88" spans="1:7" x14ac:dyDescent="0.2">
      <c r="A88" s="20" t="s">
        <v>466</v>
      </c>
      <c r="B88" s="19">
        <f>584.17</f>
        <v>584.16999999999996</v>
      </c>
      <c r="C88" s="21"/>
      <c r="D88" s="21"/>
      <c r="E88" s="21"/>
      <c r="F88" s="21"/>
      <c r="G88" s="19">
        <f t="shared" si="1"/>
        <v>584.16999999999996</v>
      </c>
    </row>
    <row r="89" spans="1:7" x14ac:dyDescent="0.2">
      <c r="A89" s="20" t="s">
        <v>257</v>
      </c>
      <c r="B89" s="19">
        <f>4579.44</f>
        <v>4579.4399999999996</v>
      </c>
      <c r="C89" s="21"/>
      <c r="D89" s="21"/>
      <c r="E89" s="21"/>
      <c r="F89" s="21"/>
      <c r="G89" s="19">
        <f t="shared" si="1"/>
        <v>4579.4399999999996</v>
      </c>
    </row>
    <row r="90" spans="1:7" x14ac:dyDescent="0.2">
      <c r="A90" s="20" t="s">
        <v>335</v>
      </c>
      <c r="B90" s="19">
        <f>69.85</f>
        <v>69.849999999999994</v>
      </c>
      <c r="C90" s="21"/>
      <c r="D90" s="21"/>
      <c r="E90" s="21"/>
      <c r="F90" s="21"/>
      <c r="G90" s="19">
        <f t="shared" si="1"/>
        <v>69.849999999999994</v>
      </c>
    </row>
    <row r="91" spans="1:7" x14ac:dyDescent="0.2">
      <c r="A91" s="20" t="s">
        <v>336</v>
      </c>
      <c r="B91" s="19">
        <f>1749.93</f>
        <v>1749.93</v>
      </c>
      <c r="C91" s="21"/>
      <c r="D91" s="21"/>
      <c r="E91" s="21"/>
      <c r="F91" s="21"/>
      <c r="G91" s="19">
        <f t="shared" si="1"/>
        <v>1749.93</v>
      </c>
    </row>
    <row r="92" spans="1:7" x14ac:dyDescent="0.2">
      <c r="A92" s="20" t="s">
        <v>437</v>
      </c>
      <c r="B92" s="21"/>
      <c r="C92" s="21"/>
      <c r="D92" s="21"/>
      <c r="E92" s="21"/>
      <c r="F92" s="21"/>
      <c r="G92" s="19">
        <f t="shared" si="1"/>
        <v>0</v>
      </c>
    </row>
    <row r="93" spans="1:7" x14ac:dyDescent="0.2">
      <c r="A93" s="20" t="s">
        <v>316</v>
      </c>
      <c r="B93" s="19">
        <f>174.14</f>
        <v>174.14</v>
      </c>
      <c r="C93" s="21"/>
      <c r="D93" s="21"/>
      <c r="E93" s="21"/>
      <c r="F93" s="21"/>
      <c r="G93" s="19">
        <f t="shared" si="1"/>
        <v>174.14</v>
      </c>
    </row>
    <row r="94" spans="1:7" x14ac:dyDescent="0.2">
      <c r="A94" s="20" t="s">
        <v>435</v>
      </c>
      <c r="B94" s="19">
        <f>813.65</f>
        <v>813.65</v>
      </c>
      <c r="C94" s="21"/>
      <c r="D94" s="21"/>
      <c r="E94" s="21"/>
      <c r="F94" s="21"/>
      <c r="G94" s="19">
        <f t="shared" si="1"/>
        <v>813.65</v>
      </c>
    </row>
    <row r="95" spans="1:7" x14ac:dyDescent="0.2">
      <c r="A95" s="20" t="s">
        <v>660</v>
      </c>
      <c r="B95" s="19">
        <f>126.48</f>
        <v>126.48</v>
      </c>
      <c r="C95" s="21"/>
      <c r="D95" s="21"/>
      <c r="E95" s="21"/>
      <c r="F95" s="21"/>
      <c r="G95" s="19">
        <f t="shared" si="1"/>
        <v>126.48</v>
      </c>
    </row>
    <row r="96" spans="1:7" x14ac:dyDescent="0.2">
      <c r="A96" s="20" t="s">
        <v>487</v>
      </c>
      <c r="B96" s="19">
        <f>961.02</f>
        <v>961.02</v>
      </c>
      <c r="C96" s="21"/>
      <c r="D96" s="21"/>
      <c r="E96" s="21"/>
      <c r="F96" s="21"/>
      <c r="G96" s="19">
        <f t="shared" si="1"/>
        <v>961.02</v>
      </c>
    </row>
    <row r="97" spans="1:7" x14ac:dyDescent="0.2">
      <c r="A97" s="20" t="s">
        <v>438</v>
      </c>
      <c r="B97" s="22">
        <f>((((B92)+(B93))+(B94))+(B95))+(B96)</f>
        <v>2075.29</v>
      </c>
      <c r="C97" s="22">
        <f>((((C92)+(C93))+(C94))+(C95))+(C96)</f>
        <v>0</v>
      </c>
      <c r="D97" s="22">
        <f>((((D92)+(D93))+(D94))+(D95))+(D96)</f>
        <v>0</v>
      </c>
      <c r="E97" s="22">
        <f>((((E92)+(E93))+(E94))+(E95))+(E96)</f>
        <v>0</v>
      </c>
      <c r="F97" s="22">
        <f>((((F92)+(F93))+(F94))+(F95))+(F96)</f>
        <v>0</v>
      </c>
      <c r="G97" s="22">
        <f t="shared" si="1"/>
        <v>2075.29</v>
      </c>
    </row>
    <row r="98" spans="1:7" x14ac:dyDescent="0.2">
      <c r="A98" s="20" t="s">
        <v>258</v>
      </c>
      <c r="B98" s="19">
        <f>6.34</f>
        <v>6.34</v>
      </c>
      <c r="C98" s="21"/>
      <c r="D98" s="21"/>
      <c r="E98" s="21"/>
      <c r="F98" s="21"/>
      <c r="G98" s="19">
        <f t="shared" si="1"/>
        <v>6.34</v>
      </c>
    </row>
    <row r="99" spans="1:7" x14ac:dyDescent="0.2">
      <c r="A99" s="20" t="s">
        <v>337</v>
      </c>
      <c r="B99" s="19">
        <f>293.25</f>
        <v>293.25</v>
      </c>
      <c r="C99" s="21"/>
      <c r="D99" s="21"/>
      <c r="E99" s="21"/>
      <c r="F99" s="21"/>
      <c r="G99" s="19">
        <f t="shared" si="1"/>
        <v>293.25</v>
      </c>
    </row>
    <row r="100" spans="1:7" x14ac:dyDescent="0.2">
      <c r="A100" s="20" t="s">
        <v>259</v>
      </c>
      <c r="B100" s="19">
        <f>55.09</f>
        <v>55.09</v>
      </c>
      <c r="C100" s="21"/>
      <c r="D100" s="21"/>
      <c r="E100" s="21"/>
      <c r="F100" s="21"/>
      <c r="G100" s="19">
        <f t="shared" si="1"/>
        <v>55.09</v>
      </c>
    </row>
    <row r="101" spans="1:7" x14ac:dyDescent="0.2">
      <c r="A101" s="20" t="s">
        <v>260</v>
      </c>
      <c r="B101" s="22">
        <f>((B98)+(B99))+(B100)</f>
        <v>354.67999999999995</v>
      </c>
      <c r="C101" s="22">
        <f>((C98)+(C99))+(C100)</f>
        <v>0</v>
      </c>
      <c r="D101" s="22">
        <f>((D98)+(D99))+(D100)</f>
        <v>0</v>
      </c>
      <c r="E101" s="22">
        <f>((E98)+(E99))+(E100)</f>
        <v>0</v>
      </c>
      <c r="F101" s="22">
        <f>((F98)+(F99))+(F100)</f>
        <v>0</v>
      </c>
      <c r="G101" s="22">
        <f t="shared" si="1"/>
        <v>354.67999999999995</v>
      </c>
    </row>
    <row r="102" spans="1:7" x14ac:dyDescent="0.2">
      <c r="A102" s="20" t="s">
        <v>261</v>
      </c>
      <c r="B102" s="19">
        <f>1697</f>
        <v>1697</v>
      </c>
      <c r="C102" s="21"/>
      <c r="D102" s="21"/>
      <c r="E102" s="21"/>
      <c r="F102" s="21"/>
      <c r="G102" s="19">
        <f t="shared" si="1"/>
        <v>1697</v>
      </c>
    </row>
    <row r="103" spans="1:7" x14ac:dyDescent="0.2">
      <c r="A103" s="20" t="s">
        <v>411</v>
      </c>
      <c r="B103" s="19">
        <f>784.95</f>
        <v>784.95</v>
      </c>
      <c r="C103" s="21"/>
      <c r="D103" s="21"/>
      <c r="E103" s="21"/>
      <c r="F103" s="21"/>
      <c r="G103" s="19">
        <f t="shared" si="1"/>
        <v>784.95</v>
      </c>
    </row>
    <row r="104" spans="1:7" x14ac:dyDescent="0.2">
      <c r="A104" s="20" t="s">
        <v>338</v>
      </c>
      <c r="B104" s="19">
        <f>1782.57</f>
        <v>1782.57</v>
      </c>
      <c r="C104" s="21"/>
      <c r="D104" s="21"/>
      <c r="E104" s="21"/>
      <c r="F104" s="21"/>
      <c r="G104" s="19">
        <f t="shared" si="1"/>
        <v>1782.57</v>
      </c>
    </row>
    <row r="105" spans="1:7" x14ac:dyDescent="0.2">
      <c r="A105" s="20" t="s">
        <v>339</v>
      </c>
      <c r="B105" s="19">
        <f>1344.2</f>
        <v>1344.2</v>
      </c>
      <c r="C105" s="21"/>
      <c r="D105" s="21"/>
      <c r="E105" s="21"/>
      <c r="F105" s="21"/>
      <c r="G105" s="19">
        <f t="shared" si="1"/>
        <v>1344.2</v>
      </c>
    </row>
    <row r="106" spans="1:7" x14ac:dyDescent="0.2">
      <c r="A106" s="20" t="s">
        <v>340</v>
      </c>
      <c r="B106" s="19">
        <f>875</f>
        <v>875</v>
      </c>
      <c r="C106" s="21"/>
      <c r="D106" s="21"/>
      <c r="E106" s="21"/>
      <c r="F106" s="21"/>
      <c r="G106" s="19">
        <f t="shared" si="1"/>
        <v>875</v>
      </c>
    </row>
    <row r="107" spans="1:7" x14ac:dyDescent="0.2">
      <c r="A107" s="20" t="s">
        <v>263</v>
      </c>
      <c r="B107" s="19">
        <f>1937.83</f>
        <v>1937.83</v>
      </c>
      <c r="C107" s="21"/>
      <c r="D107" s="21"/>
      <c r="E107" s="21"/>
      <c r="F107" s="21"/>
      <c r="G107" s="19">
        <f t="shared" si="1"/>
        <v>1937.83</v>
      </c>
    </row>
    <row r="108" spans="1:7" x14ac:dyDescent="0.2">
      <c r="A108" s="20" t="s">
        <v>341</v>
      </c>
      <c r="B108" s="19">
        <f>38.88</f>
        <v>38.880000000000003</v>
      </c>
      <c r="C108" s="21"/>
      <c r="D108" s="21"/>
      <c r="E108" s="21"/>
      <c r="F108" s="21"/>
      <c r="G108" s="19">
        <f t="shared" si="1"/>
        <v>38.880000000000003</v>
      </c>
    </row>
    <row r="109" spans="1:7" x14ac:dyDescent="0.2">
      <c r="A109" s="20" t="s">
        <v>342</v>
      </c>
      <c r="B109" s="21"/>
      <c r="C109" s="21"/>
      <c r="D109" s="21"/>
      <c r="E109" s="21"/>
      <c r="F109" s="21"/>
      <c r="G109" s="19">
        <f t="shared" si="1"/>
        <v>0</v>
      </c>
    </row>
    <row r="110" spans="1:7" x14ac:dyDescent="0.2">
      <c r="A110" s="20" t="s">
        <v>343</v>
      </c>
      <c r="B110" s="19">
        <f>539.98</f>
        <v>539.98</v>
      </c>
      <c r="C110" s="21"/>
      <c r="D110" s="21"/>
      <c r="E110" s="21"/>
      <c r="F110" s="21"/>
      <c r="G110" s="19">
        <f t="shared" si="1"/>
        <v>539.98</v>
      </c>
    </row>
    <row r="111" spans="1:7" x14ac:dyDescent="0.2">
      <c r="A111" s="20" t="s">
        <v>344</v>
      </c>
      <c r="B111" s="19">
        <f>380.26</f>
        <v>380.26</v>
      </c>
      <c r="C111" s="21"/>
      <c r="D111" s="21"/>
      <c r="E111" s="21"/>
      <c r="F111" s="21"/>
      <c r="G111" s="19">
        <f t="shared" ref="G111:G174" si="2">((((B111)+(C111))+(D111))+(E111))+(F111)</f>
        <v>380.26</v>
      </c>
    </row>
    <row r="112" spans="1:7" x14ac:dyDescent="0.2">
      <c r="A112" s="20" t="s">
        <v>345</v>
      </c>
      <c r="B112" s="22">
        <f>((B109)+(B110))+(B111)</f>
        <v>920.24</v>
      </c>
      <c r="C112" s="22">
        <f>((C109)+(C110))+(C111)</f>
        <v>0</v>
      </c>
      <c r="D112" s="22">
        <f>((D109)+(D110))+(D111)</f>
        <v>0</v>
      </c>
      <c r="E112" s="22">
        <f>((E109)+(E110))+(E111)</f>
        <v>0</v>
      </c>
      <c r="F112" s="22">
        <f>((F109)+(F110))+(F111)</f>
        <v>0</v>
      </c>
      <c r="G112" s="22">
        <f t="shared" si="2"/>
        <v>920.24</v>
      </c>
    </row>
    <row r="113" spans="1:7" x14ac:dyDescent="0.2">
      <c r="A113" s="20" t="s">
        <v>346</v>
      </c>
      <c r="B113" s="21"/>
      <c r="C113" s="21"/>
      <c r="D113" s="21"/>
      <c r="E113" s="21"/>
      <c r="F113" s="21"/>
      <c r="G113" s="19">
        <f t="shared" si="2"/>
        <v>0</v>
      </c>
    </row>
    <row r="114" spans="1:7" x14ac:dyDescent="0.2">
      <c r="A114" s="20" t="s">
        <v>347</v>
      </c>
      <c r="B114" s="19">
        <f>137.24</f>
        <v>137.24</v>
      </c>
      <c r="C114" s="21"/>
      <c r="D114" s="21"/>
      <c r="E114" s="21"/>
      <c r="F114" s="21"/>
      <c r="G114" s="19">
        <f t="shared" si="2"/>
        <v>137.24</v>
      </c>
    </row>
    <row r="115" spans="1:7" x14ac:dyDescent="0.2">
      <c r="A115" s="20" t="s">
        <v>349</v>
      </c>
      <c r="B115" s="22">
        <f>(B113)+(B114)</f>
        <v>137.24</v>
      </c>
      <c r="C115" s="22">
        <f>(C113)+(C114)</f>
        <v>0</v>
      </c>
      <c r="D115" s="22">
        <f>(D113)+(D114)</f>
        <v>0</v>
      </c>
      <c r="E115" s="22">
        <f>(E113)+(E114)</f>
        <v>0</v>
      </c>
      <c r="F115" s="22">
        <f>(F113)+(F114)</f>
        <v>0</v>
      </c>
      <c r="G115" s="22">
        <f t="shared" si="2"/>
        <v>137.24</v>
      </c>
    </row>
    <row r="116" spans="1:7" x14ac:dyDescent="0.2">
      <c r="A116" s="20" t="s">
        <v>350</v>
      </c>
      <c r="B116" s="21"/>
      <c r="C116" s="21"/>
      <c r="D116" s="21"/>
      <c r="E116" s="21"/>
      <c r="F116" s="21"/>
      <c r="G116" s="19">
        <f t="shared" si="2"/>
        <v>0</v>
      </c>
    </row>
    <row r="117" spans="1:7" x14ac:dyDescent="0.2">
      <c r="A117" s="20" t="s">
        <v>351</v>
      </c>
      <c r="B117" s="19">
        <f>444.05</f>
        <v>444.05</v>
      </c>
      <c r="C117" s="21"/>
      <c r="D117" s="21"/>
      <c r="E117" s="21"/>
      <c r="F117" s="21"/>
      <c r="G117" s="19">
        <f t="shared" si="2"/>
        <v>444.05</v>
      </c>
    </row>
    <row r="118" spans="1:7" x14ac:dyDescent="0.2">
      <c r="A118" s="20" t="s">
        <v>352</v>
      </c>
      <c r="B118" s="22">
        <f>(B116)+(B117)</f>
        <v>444.05</v>
      </c>
      <c r="C118" s="22">
        <f>(C116)+(C117)</f>
        <v>0</v>
      </c>
      <c r="D118" s="22">
        <f>(D116)+(D117)</f>
        <v>0</v>
      </c>
      <c r="E118" s="22">
        <f>(E116)+(E117)</f>
        <v>0</v>
      </c>
      <c r="F118" s="22">
        <f>(F116)+(F117)</f>
        <v>0</v>
      </c>
      <c r="G118" s="22">
        <f t="shared" si="2"/>
        <v>444.05</v>
      </c>
    </row>
    <row r="119" spans="1:7" x14ac:dyDescent="0.2">
      <c r="A119" s="20" t="s">
        <v>353</v>
      </c>
      <c r="B119" s="21"/>
      <c r="C119" s="21"/>
      <c r="D119" s="21"/>
      <c r="E119" s="21"/>
      <c r="F119" s="21"/>
      <c r="G119" s="19">
        <f t="shared" si="2"/>
        <v>0</v>
      </c>
    </row>
    <row r="120" spans="1:7" x14ac:dyDescent="0.2">
      <c r="A120" s="20" t="s">
        <v>354</v>
      </c>
      <c r="B120" s="19">
        <f>13158.18</f>
        <v>13158.18</v>
      </c>
      <c r="C120" s="21"/>
      <c r="D120" s="21"/>
      <c r="E120" s="21"/>
      <c r="F120" s="21"/>
      <c r="G120" s="19">
        <f t="shared" si="2"/>
        <v>13158.18</v>
      </c>
    </row>
    <row r="121" spans="1:7" x14ac:dyDescent="0.2">
      <c r="A121" s="20" t="s">
        <v>355</v>
      </c>
      <c r="B121" s="19">
        <f>1137.78</f>
        <v>1137.78</v>
      </c>
      <c r="C121" s="21"/>
      <c r="D121" s="21"/>
      <c r="E121" s="21"/>
      <c r="F121" s="21"/>
      <c r="G121" s="19">
        <f t="shared" si="2"/>
        <v>1137.78</v>
      </c>
    </row>
    <row r="122" spans="1:7" x14ac:dyDescent="0.2">
      <c r="A122" s="20" t="s">
        <v>356</v>
      </c>
      <c r="B122" s="19">
        <f>831.03</f>
        <v>831.03</v>
      </c>
      <c r="C122" s="21"/>
      <c r="D122" s="21"/>
      <c r="E122" s="21"/>
      <c r="F122" s="21"/>
      <c r="G122" s="19">
        <f t="shared" si="2"/>
        <v>831.03</v>
      </c>
    </row>
    <row r="123" spans="1:7" x14ac:dyDescent="0.2">
      <c r="A123" s="20" t="s">
        <v>412</v>
      </c>
      <c r="B123" s="19">
        <f>7250</f>
        <v>7250</v>
      </c>
      <c r="C123" s="21"/>
      <c r="D123" s="21"/>
      <c r="E123" s="21"/>
      <c r="F123" s="21"/>
      <c r="G123" s="19">
        <f t="shared" si="2"/>
        <v>7250</v>
      </c>
    </row>
    <row r="124" spans="1:7" x14ac:dyDescent="0.2">
      <c r="A124" s="20" t="s">
        <v>357</v>
      </c>
      <c r="B124" s="22">
        <f>((((B119)+(B120))+(B121))+(B122))+(B123)</f>
        <v>22376.99</v>
      </c>
      <c r="C124" s="22">
        <f>((((C119)+(C120))+(C121))+(C122))+(C123)</f>
        <v>0</v>
      </c>
      <c r="D124" s="22">
        <f>((((D119)+(D120))+(D121))+(D122))+(D123)</f>
        <v>0</v>
      </c>
      <c r="E124" s="22">
        <f>((((E119)+(E120))+(E121))+(E122))+(E123)</f>
        <v>0</v>
      </c>
      <c r="F124" s="22">
        <f>((((F119)+(F120))+(F121))+(F122))+(F123)</f>
        <v>0</v>
      </c>
      <c r="G124" s="22">
        <f t="shared" si="2"/>
        <v>22376.99</v>
      </c>
    </row>
    <row r="125" spans="1:7" x14ac:dyDescent="0.2">
      <c r="A125" s="20" t="s">
        <v>264</v>
      </c>
      <c r="B125" s="19">
        <f>64.8</f>
        <v>64.8</v>
      </c>
      <c r="C125" s="21"/>
      <c r="D125" s="21"/>
      <c r="E125" s="21"/>
      <c r="F125" s="21"/>
      <c r="G125" s="19">
        <f t="shared" si="2"/>
        <v>64.8</v>
      </c>
    </row>
    <row r="126" spans="1:7" x14ac:dyDescent="0.2">
      <c r="A126" s="20" t="s">
        <v>265</v>
      </c>
      <c r="B126" s="22">
        <f>(((((((((((((((((((B86)+(B87))+(B88))+(B89))+(B90))+(B91))+(B97))+(B101))+(B102))+(B103))+(B104))+(B105))+(B106))+(B107))+(B108))+(B112))+(B115))+(B118))+(B124))+(B125)</f>
        <v>41817.110000000015</v>
      </c>
      <c r="C126" s="22">
        <f>(((((((((((((((((((C86)+(C87))+(C88))+(C89))+(C90))+(C91))+(C97))+(C101))+(C102))+(C103))+(C104))+(C105))+(C106))+(C107))+(C108))+(C112))+(C115))+(C118))+(C124))+(C125)</f>
        <v>0</v>
      </c>
      <c r="D126" s="22">
        <f>(((((((((((((((((((D86)+(D87))+(D88))+(D89))+(D90))+(D91))+(D97))+(D101))+(D102))+(D103))+(D104))+(D105))+(D106))+(D107))+(D108))+(D112))+(D115))+(D118))+(D124))+(D125)</f>
        <v>0</v>
      </c>
      <c r="E126" s="22">
        <f>(((((((((((((((((((E86)+(E87))+(E88))+(E89))+(E90))+(E91))+(E97))+(E101))+(E102))+(E103))+(E104))+(E105))+(E106))+(E107))+(E108))+(E112))+(E115))+(E118))+(E124))+(E125)</f>
        <v>0</v>
      </c>
      <c r="F126" s="22">
        <f>(((((((((((((((((((F86)+(F87))+(F88))+(F89))+(F90))+(F91))+(F97))+(F101))+(F102))+(F103))+(F104))+(F105))+(F106))+(F107))+(F108))+(F112))+(F115))+(F118))+(F124))+(F125)</f>
        <v>0</v>
      </c>
      <c r="G126" s="22">
        <f t="shared" si="2"/>
        <v>41817.110000000015</v>
      </c>
    </row>
    <row r="127" spans="1:7" x14ac:dyDescent="0.2">
      <c r="A127" s="20" t="s">
        <v>266</v>
      </c>
      <c r="B127" s="21"/>
      <c r="C127" s="21"/>
      <c r="D127" s="21"/>
      <c r="E127" s="21"/>
      <c r="F127" s="21"/>
      <c r="G127" s="19">
        <f t="shared" si="2"/>
        <v>0</v>
      </c>
    </row>
    <row r="128" spans="1:7" x14ac:dyDescent="0.2">
      <c r="A128" s="20" t="s">
        <v>267</v>
      </c>
      <c r="B128" s="21"/>
      <c r="C128" s="21"/>
      <c r="D128" s="21"/>
      <c r="E128" s="21"/>
      <c r="F128" s="21"/>
      <c r="G128" s="19">
        <f t="shared" si="2"/>
        <v>0</v>
      </c>
    </row>
    <row r="129" spans="1:7" x14ac:dyDescent="0.2">
      <c r="A129" s="20" t="s">
        <v>358</v>
      </c>
      <c r="B129" s="19">
        <f>830.63</f>
        <v>830.63</v>
      </c>
      <c r="C129" s="21"/>
      <c r="D129" s="21"/>
      <c r="E129" s="21"/>
      <c r="F129" s="21"/>
      <c r="G129" s="19">
        <f t="shared" si="2"/>
        <v>830.63</v>
      </c>
    </row>
    <row r="130" spans="1:7" x14ac:dyDescent="0.2">
      <c r="A130" s="20" t="s">
        <v>268</v>
      </c>
      <c r="B130" s="19">
        <f>12058.07</f>
        <v>12058.07</v>
      </c>
      <c r="C130" s="21"/>
      <c r="D130" s="21"/>
      <c r="E130" s="21"/>
      <c r="F130" s="21"/>
      <c r="G130" s="19">
        <f t="shared" si="2"/>
        <v>12058.07</v>
      </c>
    </row>
    <row r="131" spans="1:7" x14ac:dyDescent="0.2">
      <c r="A131" s="20" t="s">
        <v>269</v>
      </c>
      <c r="B131" s="22">
        <f>((B128)+(B129))+(B130)</f>
        <v>12888.699999999999</v>
      </c>
      <c r="C131" s="22">
        <f>((C128)+(C129))+(C130)</f>
        <v>0</v>
      </c>
      <c r="D131" s="22">
        <f>((D128)+(D129))+(D130)</f>
        <v>0</v>
      </c>
      <c r="E131" s="22">
        <f>((E128)+(E129))+(E130)</f>
        <v>0</v>
      </c>
      <c r="F131" s="22">
        <f>((F128)+(F129))+(F130)</f>
        <v>0</v>
      </c>
      <c r="G131" s="22">
        <f t="shared" si="2"/>
        <v>12888.699999999999</v>
      </c>
    </row>
    <row r="132" spans="1:7" x14ac:dyDescent="0.2">
      <c r="A132" s="20" t="s">
        <v>270</v>
      </c>
      <c r="B132" s="21"/>
      <c r="C132" s="21"/>
      <c r="D132" s="21"/>
      <c r="E132" s="21"/>
      <c r="F132" s="21"/>
      <c r="G132" s="19">
        <f t="shared" si="2"/>
        <v>0</v>
      </c>
    </row>
    <row r="133" spans="1:7" x14ac:dyDescent="0.2">
      <c r="A133" s="20" t="s">
        <v>271</v>
      </c>
      <c r="B133" s="19">
        <f>1681.92</f>
        <v>1681.92</v>
      </c>
      <c r="C133" s="21"/>
      <c r="D133" s="21"/>
      <c r="E133" s="21"/>
      <c r="F133" s="21"/>
      <c r="G133" s="19">
        <f t="shared" si="2"/>
        <v>1681.92</v>
      </c>
    </row>
    <row r="134" spans="1:7" x14ac:dyDescent="0.2">
      <c r="A134" s="20" t="s">
        <v>359</v>
      </c>
      <c r="B134" s="19">
        <f>1000.79</f>
        <v>1000.79</v>
      </c>
      <c r="C134" s="21"/>
      <c r="D134" s="21"/>
      <c r="E134" s="21"/>
      <c r="F134" s="21"/>
      <c r="G134" s="19">
        <f t="shared" si="2"/>
        <v>1000.79</v>
      </c>
    </row>
    <row r="135" spans="1:7" x14ac:dyDescent="0.2">
      <c r="A135" s="20" t="s">
        <v>360</v>
      </c>
      <c r="B135" s="19">
        <f>2021.18</f>
        <v>2021.18</v>
      </c>
      <c r="C135" s="21"/>
      <c r="D135" s="21"/>
      <c r="E135" s="21"/>
      <c r="F135" s="21"/>
      <c r="G135" s="19">
        <f t="shared" si="2"/>
        <v>2021.18</v>
      </c>
    </row>
    <row r="136" spans="1:7" x14ac:dyDescent="0.2">
      <c r="A136" s="20" t="s">
        <v>272</v>
      </c>
      <c r="B136" s="22">
        <f>(((B132)+(B133))+(B134))+(B135)</f>
        <v>4703.8900000000003</v>
      </c>
      <c r="C136" s="22">
        <f>(((C132)+(C133))+(C134))+(C135)</f>
        <v>0</v>
      </c>
      <c r="D136" s="22">
        <f>(((D132)+(D133))+(D134))+(D135)</f>
        <v>0</v>
      </c>
      <c r="E136" s="22">
        <f>(((E132)+(E133))+(E134))+(E135)</f>
        <v>0</v>
      </c>
      <c r="F136" s="22">
        <f>(((F132)+(F133))+(F134))+(F135)</f>
        <v>0</v>
      </c>
      <c r="G136" s="22">
        <f t="shared" si="2"/>
        <v>4703.8900000000003</v>
      </c>
    </row>
    <row r="137" spans="1:7" x14ac:dyDescent="0.2">
      <c r="A137" s="20" t="s">
        <v>731</v>
      </c>
      <c r="B137" s="19">
        <f>2083.36</f>
        <v>2083.36</v>
      </c>
      <c r="C137" s="21"/>
      <c r="D137" s="21"/>
      <c r="E137" s="21"/>
      <c r="F137" s="21"/>
      <c r="G137" s="19">
        <f t="shared" si="2"/>
        <v>2083.36</v>
      </c>
    </row>
    <row r="138" spans="1:7" x14ac:dyDescent="0.2">
      <c r="A138" s="20" t="s">
        <v>361</v>
      </c>
      <c r="B138" s="21"/>
      <c r="C138" s="21"/>
      <c r="D138" s="21"/>
      <c r="E138" s="21"/>
      <c r="F138" s="21"/>
      <c r="G138" s="19">
        <f t="shared" si="2"/>
        <v>0</v>
      </c>
    </row>
    <row r="139" spans="1:7" x14ac:dyDescent="0.2">
      <c r="A139" s="20" t="s">
        <v>362</v>
      </c>
      <c r="B139" s="19">
        <f>2184.01</f>
        <v>2184.0100000000002</v>
      </c>
      <c r="C139" s="21"/>
      <c r="D139" s="21"/>
      <c r="E139" s="21"/>
      <c r="F139" s="21"/>
      <c r="G139" s="19">
        <f t="shared" si="2"/>
        <v>2184.0100000000002</v>
      </c>
    </row>
    <row r="140" spans="1:7" x14ac:dyDescent="0.2">
      <c r="A140" s="20" t="s">
        <v>363</v>
      </c>
      <c r="B140" s="19">
        <f>711.52</f>
        <v>711.52</v>
      </c>
      <c r="C140" s="21"/>
      <c r="D140" s="21"/>
      <c r="E140" s="21"/>
      <c r="F140" s="21"/>
      <c r="G140" s="19">
        <f t="shared" si="2"/>
        <v>711.52</v>
      </c>
    </row>
    <row r="141" spans="1:7" x14ac:dyDescent="0.2">
      <c r="A141" s="20" t="s">
        <v>365</v>
      </c>
      <c r="B141" s="19">
        <f>161.28</f>
        <v>161.28</v>
      </c>
      <c r="C141" s="21"/>
      <c r="D141" s="21"/>
      <c r="E141" s="21"/>
      <c r="F141" s="21"/>
      <c r="G141" s="19">
        <f t="shared" si="2"/>
        <v>161.28</v>
      </c>
    </row>
    <row r="142" spans="1:7" x14ac:dyDescent="0.2">
      <c r="A142" s="20" t="s">
        <v>366</v>
      </c>
      <c r="B142" s="19">
        <f>1362.86</f>
        <v>1362.86</v>
      </c>
      <c r="C142" s="21"/>
      <c r="D142" s="21"/>
      <c r="E142" s="21"/>
      <c r="F142" s="21"/>
      <c r="G142" s="19">
        <f t="shared" si="2"/>
        <v>1362.86</v>
      </c>
    </row>
    <row r="143" spans="1:7" x14ac:dyDescent="0.2">
      <c r="A143" s="20" t="s">
        <v>413</v>
      </c>
      <c r="B143" s="19">
        <f>225</f>
        <v>225</v>
      </c>
      <c r="C143" s="21"/>
      <c r="D143" s="21"/>
      <c r="E143" s="21"/>
      <c r="F143" s="21"/>
      <c r="G143" s="19">
        <f t="shared" si="2"/>
        <v>225</v>
      </c>
    </row>
    <row r="144" spans="1:7" x14ac:dyDescent="0.2">
      <c r="A144" s="20" t="s">
        <v>368</v>
      </c>
      <c r="B144" s="22">
        <f>(((((B138)+(B139))+(B140))+(B141))+(B142))+(B143)</f>
        <v>4644.67</v>
      </c>
      <c r="C144" s="22">
        <f>(((((C138)+(C139))+(C140))+(C141))+(C142))+(C143)</f>
        <v>0</v>
      </c>
      <c r="D144" s="22">
        <f>(((((D138)+(D139))+(D140))+(D141))+(D142))+(D143)</f>
        <v>0</v>
      </c>
      <c r="E144" s="22">
        <f>(((((E138)+(E139))+(E140))+(E141))+(E142))+(E143)</f>
        <v>0</v>
      </c>
      <c r="F144" s="22">
        <f>(((((F138)+(F139))+(F140))+(F141))+(F142))+(F143)</f>
        <v>0</v>
      </c>
      <c r="G144" s="22">
        <f t="shared" si="2"/>
        <v>4644.67</v>
      </c>
    </row>
    <row r="145" spans="1:7" x14ac:dyDescent="0.2">
      <c r="A145" s="20" t="s">
        <v>369</v>
      </c>
      <c r="B145" s="21"/>
      <c r="C145" s="21"/>
      <c r="D145" s="21"/>
      <c r="E145" s="21"/>
      <c r="F145" s="21"/>
      <c r="G145" s="19">
        <f t="shared" si="2"/>
        <v>0</v>
      </c>
    </row>
    <row r="146" spans="1:7" x14ac:dyDescent="0.2">
      <c r="A146" s="20" t="s">
        <v>370</v>
      </c>
      <c r="B146" s="19">
        <f>896.71</f>
        <v>896.71</v>
      </c>
      <c r="C146" s="21"/>
      <c r="D146" s="21"/>
      <c r="E146" s="21"/>
      <c r="F146" s="21"/>
      <c r="G146" s="19">
        <f t="shared" si="2"/>
        <v>896.71</v>
      </c>
    </row>
    <row r="147" spans="1:7" x14ac:dyDescent="0.2">
      <c r="A147" s="20" t="s">
        <v>373</v>
      </c>
      <c r="B147" s="19">
        <f>773.57</f>
        <v>773.57</v>
      </c>
      <c r="C147" s="21"/>
      <c r="D147" s="21"/>
      <c r="E147" s="21"/>
      <c r="F147" s="21"/>
      <c r="G147" s="19">
        <f t="shared" si="2"/>
        <v>773.57</v>
      </c>
    </row>
    <row r="148" spans="1:7" x14ac:dyDescent="0.2">
      <c r="A148" s="20" t="s">
        <v>374</v>
      </c>
      <c r="B148" s="19">
        <f>550</f>
        <v>550</v>
      </c>
      <c r="C148" s="21"/>
      <c r="D148" s="21"/>
      <c r="E148" s="21"/>
      <c r="F148" s="21"/>
      <c r="G148" s="19">
        <f t="shared" si="2"/>
        <v>550</v>
      </c>
    </row>
    <row r="149" spans="1:7" x14ac:dyDescent="0.2">
      <c r="A149" s="20" t="s">
        <v>375</v>
      </c>
      <c r="B149" s="19">
        <f>4654.65</f>
        <v>4654.6499999999996</v>
      </c>
      <c r="C149" s="21"/>
      <c r="D149" s="21"/>
      <c r="E149" s="21"/>
      <c r="F149" s="21"/>
      <c r="G149" s="19">
        <f t="shared" si="2"/>
        <v>4654.6499999999996</v>
      </c>
    </row>
    <row r="150" spans="1:7" x14ac:dyDescent="0.2">
      <c r="A150" s="20" t="s">
        <v>376</v>
      </c>
      <c r="B150" s="19">
        <f>5648.09</f>
        <v>5648.09</v>
      </c>
      <c r="C150" s="21"/>
      <c r="D150" s="21"/>
      <c r="E150" s="21"/>
      <c r="F150" s="21"/>
      <c r="G150" s="19">
        <f t="shared" si="2"/>
        <v>5648.09</v>
      </c>
    </row>
    <row r="151" spans="1:7" x14ac:dyDescent="0.2">
      <c r="A151" s="20" t="s">
        <v>377</v>
      </c>
      <c r="B151" s="19">
        <f>1763.74</f>
        <v>1763.74</v>
      </c>
      <c r="C151" s="21"/>
      <c r="D151" s="21"/>
      <c r="E151" s="21"/>
      <c r="F151" s="21"/>
      <c r="G151" s="19">
        <f t="shared" si="2"/>
        <v>1763.74</v>
      </c>
    </row>
    <row r="152" spans="1:7" x14ac:dyDescent="0.2">
      <c r="A152" s="20" t="s">
        <v>378</v>
      </c>
      <c r="B152" s="22">
        <f>((((((B145)+(B146))+(B147))+(B148))+(B149))+(B150))+(B151)</f>
        <v>14286.76</v>
      </c>
      <c r="C152" s="22">
        <f>((((((C145)+(C146))+(C147))+(C148))+(C149))+(C150))+(C151)</f>
        <v>0</v>
      </c>
      <c r="D152" s="22">
        <f>((((((D145)+(D146))+(D147))+(D148))+(D149))+(D150))+(D151)</f>
        <v>0</v>
      </c>
      <c r="E152" s="22">
        <f>((((((E145)+(E146))+(E147))+(E148))+(E149))+(E150))+(E151)</f>
        <v>0</v>
      </c>
      <c r="F152" s="22">
        <f>((((((F145)+(F146))+(F147))+(F148))+(F149))+(F150))+(F151)</f>
        <v>0</v>
      </c>
      <c r="G152" s="22">
        <f t="shared" si="2"/>
        <v>14286.76</v>
      </c>
    </row>
    <row r="153" spans="1:7" x14ac:dyDescent="0.2">
      <c r="A153" s="20" t="s">
        <v>273</v>
      </c>
      <c r="B153" s="22">
        <f>(((((B127)+(B131))+(B136))+(B137))+(B144))+(B152)</f>
        <v>38607.380000000005</v>
      </c>
      <c r="C153" s="22">
        <f>(((((C127)+(C131))+(C136))+(C137))+(C144))+(C152)</f>
        <v>0</v>
      </c>
      <c r="D153" s="22">
        <f>(((((D127)+(D131))+(D136))+(D137))+(D144))+(D152)</f>
        <v>0</v>
      </c>
      <c r="E153" s="22">
        <f>(((((E127)+(E131))+(E136))+(E137))+(E144))+(E152)</f>
        <v>0</v>
      </c>
      <c r="F153" s="22">
        <f>(((((F127)+(F131))+(F136))+(F137))+(F144))+(F152)</f>
        <v>0</v>
      </c>
      <c r="G153" s="22">
        <f t="shared" si="2"/>
        <v>38607.380000000005</v>
      </c>
    </row>
    <row r="154" spans="1:7" x14ac:dyDescent="0.2">
      <c r="A154" s="20" t="s">
        <v>274</v>
      </c>
      <c r="B154" s="22">
        <f>(((B47)+(B85))+(B126))+(B153)</f>
        <v>256740.13000000003</v>
      </c>
      <c r="C154" s="22">
        <f>(((C47)+(C85))+(C126))+(C153)</f>
        <v>0</v>
      </c>
      <c r="D154" s="22">
        <f>(((D47)+(D85))+(D126))+(D153)</f>
        <v>0</v>
      </c>
      <c r="E154" s="22">
        <f>(((E47)+(E85))+(E126))+(E153)</f>
        <v>0</v>
      </c>
      <c r="F154" s="22">
        <f>(((F47)+(F85))+(F126))+(F153)</f>
        <v>0</v>
      </c>
      <c r="G154" s="22">
        <f t="shared" si="2"/>
        <v>256740.13000000003</v>
      </c>
    </row>
    <row r="155" spans="1:7" x14ac:dyDescent="0.2">
      <c r="A155" s="20" t="s">
        <v>275</v>
      </c>
      <c r="B155" s="21"/>
      <c r="C155" s="21"/>
      <c r="D155" s="21"/>
      <c r="E155" s="21"/>
      <c r="F155" s="21"/>
      <c r="G155" s="19">
        <f t="shared" si="2"/>
        <v>0</v>
      </c>
    </row>
    <row r="156" spans="1:7" x14ac:dyDescent="0.2">
      <c r="A156" s="20" t="s">
        <v>276</v>
      </c>
      <c r="B156" s="21"/>
      <c r="C156" s="21"/>
      <c r="D156" s="21"/>
      <c r="E156" s="21"/>
      <c r="F156" s="21"/>
      <c r="G156" s="19">
        <f t="shared" si="2"/>
        <v>0</v>
      </c>
    </row>
    <row r="157" spans="1:7" x14ac:dyDescent="0.2">
      <c r="A157" s="20" t="s">
        <v>277</v>
      </c>
      <c r="B157" s="21"/>
      <c r="C157" s="21"/>
      <c r="D157" s="21"/>
      <c r="E157" s="21"/>
      <c r="F157" s="21"/>
      <c r="G157" s="19">
        <f t="shared" si="2"/>
        <v>0</v>
      </c>
    </row>
    <row r="158" spans="1:7" x14ac:dyDescent="0.2">
      <c r="A158" s="20" t="s">
        <v>425</v>
      </c>
      <c r="B158" s="21"/>
      <c r="C158" s="21"/>
      <c r="D158" s="21"/>
      <c r="E158" s="21"/>
      <c r="F158" s="21"/>
      <c r="G158" s="19">
        <f t="shared" si="2"/>
        <v>0</v>
      </c>
    </row>
    <row r="159" spans="1:7" x14ac:dyDescent="0.2">
      <c r="A159" s="20" t="s">
        <v>436</v>
      </c>
      <c r="B159" s="21"/>
      <c r="C159" s="21"/>
      <c r="D159" s="21"/>
      <c r="E159" s="19">
        <f>22557.64</f>
        <v>22557.64</v>
      </c>
      <c r="F159" s="21"/>
      <c r="G159" s="19">
        <f t="shared" si="2"/>
        <v>22557.64</v>
      </c>
    </row>
    <row r="160" spans="1:7" x14ac:dyDescent="0.2">
      <c r="A160" s="20" t="s">
        <v>556</v>
      </c>
      <c r="B160" s="21"/>
      <c r="C160" s="21"/>
      <c r="D160" s="21"/>
      <c r="E160" s="19">
        <f>11442.36</f>
        <v>11442.36</v>
      </c>
      <c r="F160" s="21"/>
      <c r="G160" s="19">
        <f t="shared" si="2"/>
        <v>11442.36</v>
      </c>
    </row>
    <row r="161" spans="1:7" x14ac:dyDescent="0.2">
      <c r="A161" s="20" t="s">
        <v>432</v>
      </c>
      <c r="B161" s="21"/>
      <c r="C161" s="21"/>
      <c r="D161" s="21"/>
      <c r="E161" s="19">
        <f>2601</f>
        <v>2601</v>
      </c>
      <c r="F161" s="21"/>
      <c r="G161" s="19">
        <f t="shared" si="2"/>
        <v>2601</v>
      </c>
    </row>
    <row r="162" spans="1:7" x14ac:dyDescent="0.2">
      <c r="A162" s="20" t="s">
        <v>692</v>
      </c>
      <c r="B162" s="21"/>
      <c r="C162" s="21"/>
      <c r="D162" s="21"/>
      <c r="E162" s="19">
        <f>-226.9</f>
        <v>-226.9</v>
      </c>
      <c r="F162" s="21"/>
      <c r="G162" s="19">
        <f t="shared" si="2"/>
        <v>-226.9</v>
      </c>
    </row>
    <row r="163" spans="1:7" x14ac:dyDescent="0.2">
      <c r="A163" s="20" t="s">
        <v>757</v>
      </c>
      <c r="B163" s="21"/>
      <c r="C163" s="21"/>
      <c r="D163" s="21"/>
      <c r="E163" s="19">
        <f>2826.02</f>
        <v>2826.02</v>
      </c>
      <c r="F163" s="21"/>
      <c r="G163" s="19">
        <f t="shared" si="2"/>
        <v>2826.02</v>
      </c>
    </row>
    <row r="164" spans="1:7" x14ac:dyDescent="0.2">
      <c r="A164" s="20" t="s">
        <v>661</v>
      </c>
      <c r="B164" s="21"/>
      <c r="C164" s="21"/>
      <c r="D164" s="21"/>
      <c r="E164" s="19">
        <f>19600.62</f>
        <v>19600.62</v>
      </c>
      <c r="F164" s="21"/>
      <c r="G164" s="19">
        <f t="shared" si="2"/>
        <v>19600.62</v>
      </c>
    </row>
    <row r="165" spans="1:7" x14ac:dyDescent="0.2">
      <c r="A165" s="20" t="s">
        <v>427</v>
      </c>
      <c r="B165" s="21"/>
      <c r="C165" s="21"/>
      <c r="D165" s="21"/>
      <c r="E165" s="19">
        <f>1597.5</f>
        <v>1597.5</v>
      </c>
      <c r="F165" s="21"/>
      <c r="G165" s="19">
        <f t="shared" si="2"/>
        <v>1597.5</v>
      </c>
    </row>
    <row r="166" spans="1:7" x14ac:dyDescent="0.2">
      <c r="A166" s="20" t="s">
        <v>677</v>
      </c>
      <c r="B166" s="21"/>
      <c r="C166" s="21"/>
      <c r="D166" s="21"/>
      <c r="E166" s="19">
        <f>1897.38</f>
        <v>1897.38</v>
      </c>
      <c r="F166" s="21"/>
      <c r="G166" s="19">
        <f t="shared" si="2"/>
        <v>1897.38</v>
      </c>
    </row>
    <row r="167" spans="1:7" x14ac:dyDescent="0.2">
      <c r="A167" s="20" t="s">
        <v>678</v>
      </c>
      <c r="B167" s="21"/>
      <c r="C167" s="21"/>
      <c r="D167" s="21"/>
      <c r="E167" s="19">
        <f>1115.39</f>
        <v>1115.3900000000001</v>
      </c>
      <c r="F167" s="21"/>
      <c r="G167" s="19">
        <f t="shared" si="2"/>
        <v>1115.3900000000001</v>
      </c>
    </row>
    <row r="168" spans="1:7" x14ac:dyDescent="0.2">
      <c r="A168" s="20" t="s">
        <v>662</v>
      </c>
      <c r="B168" s="21"/>
      <c r="C168" s="21"/>
      <c r="D168" s="21"/>
      <c r="E168" s="19">
        <f>992.58</f>
        <v>992.58</v>
      </c>
      <c r="F168" s="21"/>
      <c r="G168" s="19">
        <f t="shared" si="2"/>
        <v>992.58</v>
      </c>
    </row>
    <row r="169" spans="1:7" x14ac:dyDescent="0.2">
      <c r="A169" s="20" t="s">
        <v>426</v>
      </c>
      <c r="B169" s="22">
        <f>((((((((((B158)+(B159))+(B160))+(B161))+(B162))+(B163))+(B164))+(B165))+(B166))+(B167))+(B168)</f>
        <v>0</v>
      </c>
      <c r="C169" s="22">
        <f>((((((((((C158)+(C159))+(C160))+(C161))+(C162))+(C163))+(C164))+(C165))+(C166))+(C167))+(C168)</f>
        <v>0</v>
      </c>
      <c r="D169" s="22">
        <f>((((((((((D158)+(D159))+(D160))+(D161))+(D162))+(D163))+(D164))+(D165))+(D166))+(D167))+(D168)</f>
        <v>0</v>
      </c>
      <c r="E169" s="22">
        <f>((((((((((E158)+(E159))+(E160))+(E161))+(E162))+(E163))+(E164))+(E165))+(E166))+(E167))+(E168)</f>
        <v>64403.589999999989</v>
      </c>
      <c r="F169" s="22">
        <f>((((((((((F158)+(F159))+(F160))+(F161))+(F162))+(F163))+(F164))+(F165))+(F166))+(F167))+(F168)</f>
        <v>0</v>
      </c>
      <c r="G169" s="22">
        <f t="shared" si="2"/>
        <v>64403.589999999989</v>
      </c>
    </row>
    <row r="170" spans="1:7" x14ac:dyDescent="0.2">
      <c r="A170" s="20" t="s">
        <v>278</v>
      </c>
      <c r="B170" s="22">
        <f>(B157)+(B169)</f>
        <v>0</v>
      </c>
      <c r="C170" s="22">
        <f>(C157)+(C169)</f>
        <v>0</v>
      </c>
      <c r="D170" s="22">
        <f>(D157)+(D169)</f>
        <v>0</v>
      </c>
      <c r="E170" s="22">
        <f>(E157)+(E169)</f>
        <v>64403.589999999989</v>
      </c>
      <c r="F170" s="22">
        <f>(F157)+(F169)</f>
        <v>0</v>
      </c>
      <c r="G170" s="22">
        <f t="shared" si="2"/>
        <v>64403.589999999989</v>
      </c>
    </row>
    <row r="171" spans="1:7" x14ac:dyDescent="0.2">
      <c r="A171" s="20" t="s">
        <v>279</v>
      </c>
      <c r="B171" s="21"/>
      <c r="C171" s="21"/>
      <c r="D171" s="21"/>
      <c r="E171" s="21"/>
      <c r="F171" s="21"/>
      <c r="G171" s="19">
        <f t="shared" si="2"/>
        <v>0</v>
      </c>
    </row>
    <row r="172" spans="1:7" x14ac:dyDescent="0.2">
      <c r="A172" s="20" t="s">
        <v>280</v>
      </c>
      <c r="B172" s="21"/>
      <c r="C172" s="21"/>
      <c r="D172" s="21"/>
      <c r="E172" s="19">
        <f>10276.84</f>
        <v>10276.84</v>
      </c>
      <c r="F172" s="21"/>
      <c r="G172" s="19">
        <f t="shared" si="2"/>
        <v>10276.84</v>
      </c>
    </row>
    <row r="173" spans="1:7" x14ac:dyDescent="0.2">
      <c r="A173" s="20" t="s">
        <v>699</v>
      </c>
      <c r="B173" s="21"/>
      <c r="C173" s="21"/>
      <c r="D173" s="21"/>
      <c r="E173" s="19">
        <f>0</f>
        <v>0</v>
      </c>
      <c r="F173" s="21"/>
      <c r="G173" s="19">
        <f t="shared" si="2"/>
        <v>0</v>
      </c>
    </row>
    <row r="174" spans="1:7" x14ac:dyDescent="0.2">
      <c r="A174" s="20" t="s">
        <v>465</v>
      </c>
      <c r="B174" s="21"/>
      <c r="C174" s="21"/>
      <c r="D174" s="21"/>
      <c r="E174" s="19">
        <f>1486.4</f>
        <v>1486.4</v>
      </c>
      <c r="F174" s="21"/>
      <c r="G174" s="19">
        <f t="shared" si="2"/>
        <v>1486.4</v>
      </c>
    </row>
    <row r="175" spans="1:7" x14ac:dyDescent="0.2">
      <c r="A175" s="20" t="s">
        <v>379</v>
      </c>
      <c r="B175" s="21"/>
      <c r="C175" s="21"/>
      <c r="D175" s="21"/>
      <c r="E175" s="19">
        <f>68.03</f>
        <v>68.03</v>
      </c>
      <c r="F175" s="21"/>
      <c r="G175" s="19">
        <f t="shared" ref="G175:G228" si="3">((((B175)+(C175))+(D175))+(E175))+(F175)</f>
        <v>68.03</v>
      </c>
    </row>
    <row r="176" spans="1:7" x14ac:dyDescent="0.2">
      <c r="A176" s="20" t="s">
        <v>281</v>
      </c>
      <c r="B176" s="22">
        <f>((((B171)+(B172))+(B173))+(B174))+(B175)</f>
        <v>0</v>
      </c>
      <c r="C176" s="22">
        <f>((((C171)+(C172))+(C173))+(C174))+(C175)</f>
        <v>0</v>
      </c>
      <c r="D176" s="22">
        <f>((((D171)+(D172))+(D173))+(D174))+(D175)</f>
        <v>0</v>
      </c>
      <c r="E176" s="22">
        <f>((((E171)+(E172))+(E173))+(E174))+(E175)</f>
        <v>11831.27</v>
      </c>
      <c r="F176" s="22">
        <f>((((F171)+(F172))+(F173))+(F174))+(F175)</f>
        <v>0</v>
      </c>
      <c r="G176" s="22">
        <f t="shared" si="3"/>
        <v>11831.27</v>
      </c>
    </row>
    <row r="177" spans="1:7" x14ac:dyDescent="0.2">
      <c r="A177" s="20" t="s">
        <v>489</v>
      </c>
      <c r="B177" s="21"/>
      <c r="C177" s="21"/>
      <c r="D177" s="21"/>
      <c r="E177" s="21"/>
      <c r="F177" s="21"/>
      <c r="G177" s="19">
        <f t="shared" si="3"/>
        <v>0</v>
      </c>
    </row>
    <row r="178" spans="1:7" x14ac:dyDescent="0.2">
      <c r="A178" s="20" t="s">
        <v>495</v>
      </c>
      <c r="B178" s="21"/>
      <c r="C178" s="21"/>
      <c r="D178" s="21"/>
      <c r="E178" s="19">
        <f>11321.21</f>
        <v>11321.21</v>
      </c>
      <c r="F178" s="21"/>
      <c r="G178" s="19">
        <f t="shared" si="3"/>
        <v>11321.21</v>
      </c>
    </row>
    <row r="179" spans="1:7" x14ac:dyDescent="0.2">
      <c r="A179" s="20" t="s">
        <v>523</v>
      </c>
      <c r="B179" s="21"/>
      <c r="C179" s="21"/>
      <c r="D179" s="21"/>
      <c r="E179" s="19">
        <f>6470.15</f>
        <v>6470.15</v>
      </c>
      <c r="F179" s="21"/>
      <c r="G179" s="19">
        <f t="shared" si="3"/>
        <v>6470.15</v>
      </c>
    </row>
    <row r="180" spans="1:7" x14ac:dyDescent="0.2">
      <c r="A180" s="20" t="s">
        <v>693</v>
      </c>
      <c r="B180" s="21"/>
      <c r="C180" s="21"/>
      <c r="D180" s="21"/>
      <c r="E180" s="19">
        <f>483.96</f>
        <v>483.96</v>
      </c>
      <c r="F180" s="21"/>
      <c r="G180" s="19">
        <f t="shared" si="3"/>
        <v>483.96</v>
      </c>
    </row>
    <row r="181" spans="1:7" x14ac:dyDescent="0.2">
      <c r="A181" s="20" t="s">
        <v>555</v>
      </c>
      <c r="B181" s="21"/>
      <c r="C181" s="21"/>
      <c r="D181" s="21"/>
      <c r="E181" s="19">
        <f>1094.51</f>
        <v>1094.51</v>
      </c>
      <c r="F181" s="21"/>
      <c r="G181" s="19">
        <f t="shared" si="3"/>
        <v>1094.51</v>
      </c>
    </row>
    <row r="182" spans="1:7" x14ac:dyDescent="0.2">
      <c r="A182" s="20" t="s">
        <v>609</v>
      </c>
      <c r="B182" s="21"/>
      <c r="C182" s="21"/>
      <c r="D182" s="21"/>
      <c r="E182" s="19">
        <f>879.96</f>
        <v>879.96</v>
      </c>
      <c r="F182" s="21"/>
      <c r="G182" s="19">
        <f t="shared" si="3"/>
        <v>879.96</v>
      </c>
    </row>
    <row r="183" spans="1:7" x14ac:dyDescent="0.2">
      <c r="A183" s="20" t="s">
        <v>393</v>
      </c>
      <c r="B183" s="21"/>
      <c r="C183" s="21"/>
      <c r="D183" s="21"/>
      <c r="E183" s="19">
        <f>132.4</f>
        <v>132.4</v>
      </c>
      <c r="F183" s="21"/>
      <c r="G183" s="19">
        <f t="shared" si="3"/>
        <v>132.4</v>
      </c>
    </row>
    <row r="184" spans="1:7" x14ac:dyDescent="0.2">
      <c r="A184" s="20" t="s">
        <v>496</v>
      </c>
      <c r="B184" s="22">
        <f>((((((B177)+(B178))+(B179))+(B180))+(B181))+(B182))+(B183)</f>
        <v>0</v>
      </c>
      <c r="C184" s="22">
        <f>((((((C177)+(C178))+(C179))+(C180))+(C181))+(C182))+(C183)</f>
        <v>0</v>
      </c>
      <c r="D184" s="22">
        <f>((((((D177)+(D178))+(D179))+(D180))+(D181))+(D182))+(D183)</f>
        <v>0</v>
      </c>
      <c r="E184" s="22">
        <f>((((((E177)+(E178))+(E179))+(E180))+(E181))+(E182))+(E183)</f>
        <v>20382.189999999999</v>
      </c>
      <c r="F184" s="22">
        <f>((((((F177)+(F178))+(F179))+(F180))+(F181))+(F182))+(F183)</f>
        <v>0</v>
      </c>
      <c r="G184" s="22">
        <f t="shared" si="3"/>
        <v>20382.189999999999</v>
      </c>
    </row>
    <row r="185" spans="1:7" x14ac:dyDescent="0.2">
      <c r="A185" s="20" t="s">
        <v>283</v>
      </c>
      <c r="B185" s="21"/>
      <c r="C185" s="21"/>
      <c r="D185" s="21"/>
      <c r="E185" s="21"/>
      <c r="F185" s="21"/>
      <c r="G185" s="19">
        <f t="shared" si="3"/>
        <v>0</v>
      </c>
    </row>
    <row r="186" spans="1:7" x14ac:dyDescent="0.2">
      <c r="A186" s="20" t="s">
        <v>284</v>
      </c>
      <c r="B186" s="21"/>
      <c r="C186" s="21"/>
      <c r="D186" s="21"/>
      <c r="E186" s="19">
        <f>828.12</f>
        <v>828.12</v>
      </c>
      <c r="F186" s="21"/>
      <c r="G186" s="19">
        <f t="shared" si="3"/>
        <v>828.12</v>
      </c>
    </row>
    <row r="187" spans="1:7" x14ac:dyDescent="0.2">
      <c r="A187" s="20" t="s">
        <v>380</v>
      </c>
      <c r="B187" s="21"/>
      <c r="C187" s="21"/>
      <c r="D187" s="21"/>
      <c r="E187" s="19">
        <f>2081.82</f>
        <v>2081.8200000000002</v>
      </c>
      <c r="F187" s="21"/>
      <c r="G187" s="19">
        <f t="shared" si="3"/>
        <v>2081.8200000000002</v>
      </c>
    </row>
    <row r="188" spans="1:7" x14ac:dyDescent="0.2">
      <c r="A188" s="20" t="s">
        <v>613</v>
      </c>
      <c r="B188" s="21"/>
      <c r="C188" s="21"/>
      <c r="D188" s="21"/>
      <c r="E188" s="19">
        <f>151.72</f>
        <v>151.72</v>
      </c>
      <c r="F188" s="21"/>
      <c r="G188" s="19">
        <f t="shared" si="3"/>
        <v>151.72</v>
      </c>
    </row>
    <row r="189" spans="1:7" x14ac:dyDescent="0.2">
      <c r="A189" s="20" t="s">
        <v>285</v>
      </c>
      <c r="B189" s="22">
        <f>(((B185)+(B186))+(B187))+(B188)</f>
        <v>0</v>
      </c>
      <c r="C189" s="22">
        <f>(((C185)+(C186))+(C187))+(C188)</f>
        <v>0</v>
      </c>
      <c r="D189" s="22">
        <f>(((D185)+(D186))+(D187))+(D188)</f>
        <v>0</v>
      </c>
      <c r="E189" s="22">
        <f>(((E185)+(E186))+(E187))+(E188)</f>
        <v>3061.66</v>
      </c>
      <c r="F189" s="22">
        <f>(((F185)+(F186))+(F187))+(F188)</f>
        <v>0</v>
      </c>
      <c r="G189" s="22">
        <f t="shared" si="3"/>
        <v>3061.66</v>
      </c>
    </row>
    <row r="190" spans="1:7" x14ac:dyDescent="0.2">
      <c r="A190" s="20" t="s">
        <v>286</v>
      </c>
      <c r="B190" s="22">
        <f>((((B156)+(B170))+(B176))+(B184))+(B189)</f>
        <v>0</v>
      </c>
      <c r="C190" s="22">
        <f>((((C156)+(C170))+(C176))+(C184))+(C189)</f>
        <v>0</v>
      </c>
      <c r="D190" s="22">
        <f>((((D156)+(D170))+(D176))+(D184))+(D189)</f>
        <v>0</v>
      </c>
      <c r="E190" s="22">
        <f>((((E156)+(E170))+(E176))+(E184))+(E189)</f>
        <v>99678.709999999992</v>
      </c>
      <c r="F190" s="22">
        <f>((((F156)+(F170))+(F176))+(F184))+(F189)</f>
        <v>0</v>
      </c>
      <c r="G190" s="22">
        <f t="shared" si="3"/>
        <v>99678.709999999992</v>
      </c>
    </row>
    <row r="191" spans="1:7" x14ac:dyDescent="0.2">
      <c r="A191" s="20" t="s">
        <v>382</v>
      </c>
      <c r="B191" s="21"/>
      <c r="C191" s="21"/>
      <c r="D191" s="21"/>
      <c r="E191" s="21"/>
      <c r="F191" s="21"/>
      <c r="G191" s="19">
        <f t="shared" si="3"/>
        <v>0</v>
      </c>
    </row>
    <row r="192" spans="1:7" x14ac:dyDescent="0.2">
      <c r="A192" s="20" t="s">
        <v>430</v>
      </c>
      <c r="B192" s="21"/>
      <c r="C192" s="21"/>
      <c r="D192" s="19">
        <f>65440</f>
        <v>65440</v>
      </c>
      <c r="E192" s="21"/>
      <c r="F192" s="21"/>
      <c r="G192" s="19">
        <f t="shared" si="3"/>
        <v>65440</v>
      </c>
    </row>
    <row r="193" spans="1:7" x14ac:dyDescent="0.2">
      <c r="A193" s="20" t="s">
        <v>386</v>
      </c>
      <c r="B193" s="21"/>
      <c r="C193" s="21"/>
      <c r="D193" s="19">
        <f>60000</f>
        <v>60000</v>
      </c>
      <c r="E193" s="21"/>
      <c r="F193" s="21"/>
      <c r="G193" s="19">
        <f t="shared" si="3"/>
        <v>60000</v>
      </c>
    </row>
    <row r="194" spans="1:7" x14ac:dyDescent="0.2">
      <c r="A194" s="20" t="s">
        <v>387</v>
      </c>
      <c r="B194" s="21"/>
      <c r="C194" s="21"/>
      <c r="D194" s="21"/>
      <c r="E194" s="21"/>
      <c r="F194" s="21"/>
      <c r="G194" s="19">
        <f t="shared" si="3"/>
        <v>0</v>
      </c>
    </row>
    <row r="195" spans="1:7" x14ac:dyDescent="0.2">
      <c r="A195" s="20" t="s">
        <v>407</v>
      </c>
      <c r="B195" s="21"/>
      <c r="C195" s="21"/>
      <c r="D195" s="19">
        <f>83.29</f>
        <v>83.29</v>
      </c>
      <c r="E195" s="21"/>
      <c r="F195" s="21"/>
      <c r="G195" s="19">
        <f t="shared" si="3"/>
        <v>83.29</v>
      </c>
    </row>
    <row r="196" spans="1:7" x14ac:dyDescent="0.2">
      <c r="A196" s="20" t="s">
        <v>388</v>
      </c>
      <c r="B196" s="22">
        <f>(B194)+(B195)</f>
        <v>0</v>
      </c>
      <c r="C196" s="22">
        <f>(C194)+(C195)</f>
        <v>0</v>
      </c>
      <c r="D196" s="22">
        <f>(D194)+(D195)</f>
        <v>83.29</v>
      </c>
      <c r="E196" s="22">
        <f>(E194)+(E195)</f>
        <v>0</v>
      </c>
      <c r="F196" s="22">
        <f>(F194)+(F195)</f>
        <v>0</v>
      </c>
      <c r="G196" s="22">
        <f t="shared" si="3"/>
        <v>83.29</v>
      </c>
    </row>
    <row r="197" spans="1:7" x14ac:dyDescent="0.2">
      <c r="A197" s="20" t="s">
        <v>389</v>
      </c>
      <c r="B197" s="22">
        <f>(((B191)+(B192))+(B193))+(B196)</f>
        <v>0</v>
      </c>
      <c r="C197" s="22">
        <f>(((C191)+(C192))+(C193))+(C196)</f>
        <v>0</v>
      </c>
      <c r="D197" s="22">
        <f>(((D191)+(D192))+(D193))+(D196)</f>
        <v>125523.29</v>
      </c>
      <c r="E197" s="22">
        <f>(((E191)+(E192))+(E193))+(E196)</f>
        <v>0</v>
      </c>
      <c r="F197" s="22">
        <f>(((F191)+(F192))+(F193))+(F196)</f>
        <v>0</v>
      </c>
      <c r="G197" s="22">
        <f t="shared" si="3"/>
        <v>125523.29</v>
      </c>
    </row>
    <row r="198" spans="1:7" x14ac:dyDescent="0.2">
      <c r="A198" s="20" t="s">
        <v>287</v>
      </c>
      <c r="B198" s="21"/>
      <c r="C198" s="21"/>
      <c r="D198" s="21"/>
      <c r="E198" s="21"/>
      <c r="F198" s="21"/>
      <c r="G198" s="19">
        <f t="shared" si="3"/>
        <v>0</v>
      </c>
    </row>
    <row r="199" spans="1:7" x14ac:dyDescent="0.2">
      <c r="A199" s="20" t="s">
        <v>288</v>
      </c>
      <c r="B199" s="21"/>
      <c r="C199" s="21"/>
      <c r="D199" s="21"/>
      <c r="E199" s="19">
        <f>44.72</f>
        <v>44.72</v>
      </c>
      <c r="F199" s="21"/>
      <c r="G199" s="19">
        <f t="shared" si="3"/>
        <v>44.72</v>
      </c>
    </row>
    <row r="200" spans="1:7" x14ac:dyDescent="0.2">
      <c r="A200" s="20" t="s">
        <v>291</v>
      </c>
      <c r="B200" s="21"/>
      <c r="C200" s="21"/>
      <c r="D200" s="21"/>
      <c r="E200" s="19">
        <f>568.17</f>
        <v>568.16999999999996</v>
      </c>
      <c r="F200" s="21"/>
      <c r="G200" s="19">
        <f t="shared" si="3"/>
        <v>568.16999999999996</v>
      </c>
    </row>
    <row r="201" spans="1:7" x14ac:dyDescent="0.2">
      <c r="A201" s="20" t="s">
        <v>473</v>
      </c>
      <c r="B201" s="21"/>
      <c r="C201" s="21"/>
      <c r="D201" s="21"/>
      <c r="E201" s="19">
        <f>141.74</f>
        <v>141.74</v>
      </c>
      <c r="F201" s="21"/>
      <c r="G201" s="19">
        <f t="shared" si="3"/>
        <v>141.74</v>
      </c>
    </row>
    <row r="202" spans="1:7" x14ac:dyDescent="0.2">
      <c r="A202" s="20" t="s">
        <v>292</v>
      </c>
      <c r="B202" s="21"/>
      <c r="C202" s="21"/>
      <c r="D202" s="21"/>
      <c r="E202" s="19">
        <f>399.6</f>
        <v>399.6</v>
      </c>
      <c r="F202" s="21"/>
      <c r="G202" s="19">
        <f t="shared" si="3"/>
        <v>399.6</v>
      </c>
    </row>
    <row r="203" spans="1:7" x14ac:dyDescent="0.2">
      <c r="A203" s="20" t="s">
        <v>295</v>
      </c>
      <c r="B203" s="21"/>
      <c r="C203" s="21"/>
      <c r="D203" s="21"/>
      <c r="E203" s="19">
        <f>4258.94</f>
        <v>4258.9399999999996</v>
      </c>
      <c r="F203" s="21"/>
      <c r="G203" s="19">
        <f t="shared" si="3"/>
        <v>4258.9399999999996</v>
      </c>
    </row>
    <row r="204" spans="1:7" x14ac:dyDescent="0.2">
      <c r="A204" s="20" t="s">
        <v>408</v>
      </c>
      <c r="B204" s="21"/>
      <c r="C204" s="21"/>
      <c r="D204" s="21"/>
      <c r="E204" s="19">
        <f>8800</f>
        <v>8800</v>
      </c>
      <c r="F204" s="21"/>
      <c r="G204" s="19">
        <f t="shared" si="3"/>
        <v>8800</v>
      </c>
    </row>
    <row r="205" spans="1:7" x14ac:dyDescent="0.2">
      <c r="A205" s="20" t="s">
        <v>296</v>
      </c>
      <c r="B205" s="21"/>
      <c r="C205" s="21"/>
      <c r="D205" s="21"/>
      <c r="E205" s="19">
        <f>600</f>
        <v>600</v>
      </c>
      <c r="F205" s="21"/>
      <c r="G205" s="19">
        <f t="shared" si="3"/>
        <v>600</v>
      </c>
    </row>
    <row r="206" spans="1:7" x14ac:dyDescent="0.2">
      <c r="A206" s="20" t="s">
        <v>297</v>
      </c>
      <c r="B206" s="21"/>
      <c r="C206" s="21"/>
      <c r="D206" s="21"/>
      <c r="E206" s="19">
        <f>89.55</f>
        <v>89.55</v>
      </c>
      <c r="F206" s="21"/>
      <c r="G206" s="19">
        <f t="shared" si="3"/>
        <v>89.55</v>
      </c>
    </row>
    <row r="207" spans="1:7" x14ac:dyDescent="0.2">
      <c r="A207" s="20" t="s">
        <v>497</v>
      </c>
      <c r="B207" s="21"/>
      <c r="C207" s="21"/>
      <c r="D207" s="21"/>
      <c r="E207" s="19">
        <f>1082</f>
        <v>1082</v>
      </c>
      <c r="F207" s="21"/>
      <c r="G207" s="19">
        <f t="shared" si="3"/>
        <v>1082</v>
      </c>
    </row>
    <row r="208" spans="1:7" x14ac:dyDescent="0.2">
      <c r="A208" s="20" t="s">
        <v>494</v>
      </c>
      <c r="B208" s="21"/>
      <c r="C208" s="21"/>
      <c r="D208" s="21"/>
      <c r="E208" s="19">
        <f>1400</f>
        <v>1400</v>
      </c>
      <c r="F208" s="21"/>
      <c r="G208" s="19">
        <f t="shared" si="3"/>
        <v>1400</v>
      </c>
    </row>
    <row r="209" spans="1:7" x14ac:dyDescent="0.2">
      <c r="A209" s="20" t="s">
        <v>299</v>
      </c>
      <c r="B209" s="22">
        <f>(((((((((B199)+(B200))+(B201))+(B202))+(B203))+(B204))+(B205))+(B206))+(B207))+(B208)</f>
        <v>0</v>
      </c>
      <c r="C209" s="22">
        <f>(((((((((C199)+(C200))+(C201))+(C202))+(C203))+(C204))+(C205))+(C206))+(C207))+(C208)</f>
        <v>0</v>
      </c>
      <c r="D209" s="22">
        <f>(((((((((D199)+(D200))+(D201))+(D202))+(D203))+(D204))+(D205))+(D206))+(D207))+(D208)</f>
        <v>0</v>
      </c>
      <c r="E209" s="22">
        <f>(((((((((E199)+(E200))+(E201))+(E202))+(E203))+(E204))+(E205))+(E206))+(E207))+(E208)</f>
        <v>17384.72</v>
      </c>
      <c r="F209" s="22">
        <f>(((((((((F199)+(F200))+(F201))+(F202))+(F203))+(F204))+(F205))+(F206))+(F207))+(F208)</f>
        <v>0</v>
      </c>
      <c r="G209" s="22">
        <f t="shared" si="3"/>
        <v>17384.72</v>
      </c>
    </row>
    <row r="210" spans="1:7" x14ac:dyDescent="0.2">
      <c r="A210" s="20" t="s">
        <v>300</v>
      </c>
      <c r="B210" s="21"/>
      <c r="C210" s="21"/>
      <c r="D210" s="21"/>
      <c r="E210" s="21"/>
      <c r="F210" s="21"/>
      <c r="G210" s="19">
        <f t="shared" si="3"/>
        <v>0</v>
      </c>
    </row>
    <row r="211" spans="1:7" x14ac:dyDescent="0.2">
      <c r="A211" s="20" t="s">
        <v>301</v>
      </c>
      <c r="B211" s="21"/>
      <c r="C211" s="21"/>
      <c r="D211" s="21"/>
      <c r="E211" s="19">
        <f>3071.43</f>
        <v>3071.43</v>
      </c>
      <c r="F211" s="21"/>
      <c r="G211" s="19">
        <f t="shared" si="3"/>
        <v>3071.43</v>
      </c>
    </row>
    <row r="212" spans="1:7" x14ac:dyDescent="0.2">
      <c r="A212" s="20" t="s">
        <v>390</v>
      </c>
      <c r="B212" s="21"/>
      <c r="C212" s="21"/>
      <c r="D212" s="21"/>
      <c r="E212" s="19">
        <f>14333.6</f>
        <v>14333.6</v>
      </c>
      <c r="F212" s="21"/>
      <c r="G212" s="19">
        <f t="shared" si="3"/>
        <v>14333.6</v>
      </c>
    </row>
    <row r="213" spans="1:7" x14ac:dyDescent="0.2">
      <c r="A213" s="20" t="s">
        <v>391</v>
      </c>
      <c r="B213" s="21"/>
      <c r="C213" s="21"/>
      <c r="D213" s="21"/>
      <c r="E213" s="19">
        <f>51708.23</f>
        <v>51708.23</v>
      </c>
      <c r="F213" s="21"/>
      <c r="G213" s="19">
        <f t="shared" si="3"/>
        <v>51708.23</v>
      </c>
    </row>
    <row r="214" spans="1:7" x14ac:dyDescent="0.2">
      <c r="A214" s="20" t="s">
        <v>409</v>
      </c>
      <c r="B214" s="21"/>
      <c r="C214" s="21"/>
      <c r="D214" s="21"/>
      <c r="E214" s="19">
        <f>750</f>
        <v>750</v>
      </c>
      <c r="F214" s="21"/>
      <c r="G214" s="19">
        <f t="shared" si="3"/>
        <v>750</v>
      </c>
    </row>
    <row r="215" spans="1:7" x14ac:dyDescent="0.2">
      <c r="A215" s="20" t="s">
        <v>302</v>
      </c>
      <c r="B215" s="21"/>
      <c r="C215" s="21"/>
      <c r="D215" s="21"/>
      <c r="E215" s="19">
        <f>1045.82</f>
        <v>1045.82</v>
      </c>
      <c r="F215" s="21"/>
      <c r="G215" s="19">
        <f t="shared" si="3"/>
        <v>1045.82</v>
      </c>
    </row>
    <row r="216" spans="1:7" x14ac:dyDescent="0.2">
      <c r="A216" s="20" t="s">
        <v>317</v>
      </c>
      <c r="B216" s="21"/>
      <c r="C216" s="21"/>
      <c r="D216" s="21"/>
      <c r="E216" s="21"/>
      <c r="F216" s="21"/>
      <c r="G216" s="19">
        <f t="shared" si="3"/>
        <v>0</v>
      </c>
    </row>
    <row r="217" spans="1:7" x14ac:dyDescent="0.2">
      <c r="A217" s="20" t="s">
        <v>318</v>
      </c>
      <c r="B217" s="21"/>
      <c r="C217" s="21"/>
      <c r="D217" s="21"/>
      <c r="E217" s="19">
        <f>1647.31</f>
        <v>1647.31</v>
      </c>
      <c r="F217" s="21"/>
      <c r="G217" s="19">
        <f t="shared" si="3"/>
        <v>1647.31</v>
      </c>
    </row>
    <row r="218" spans="1:7" x14ac:dyDescent="0.2">
      <c r="A218" s="20" t="s">
        <v>416</v>
      </c>
      <c r="B218" s="21"/>
      <c r="C218" s="21"/>
      <c r="D218" s="21"/>
      <c r="E218" s="19">
        <f>4840</f>
        <v>4840</v>
      </c>
      <c r="F218" s="21"/>
      <c r="G218" s="19">
        <f t="shared" si="3"/>
        <v>4840</v>
      </c>
    </row>
    <row r="219" spans="1:7" x14ac:dyDescent="0.2">
      <c r="A219" s="20" t="s">
        <v>433</v>
      </c>
      <c r="B219" s="22">
        <f>((B216)+(B217))+(B218)</f>
        <v>0</v>
      </c>
      <c r="C219" s="22">
        <f>((C216)+(C217))+(C218)</f>
        <v>0</v>
      </c>
      <c r="D219" s="22">
        <f>((D216)+(D217))+(D218)</f>
        <v>0</v>
      </c>
      <c r="E219" s="22">
        <f>((E216)+(E217))+(E218)</f>
        <v>6487.3099999999995</v>
      </c>
      <c r="F219" s="22">
        <f>((F216)+(F217))+(F218)</f>
        <v>0</v>
      </c>
      <c r="G219" s="22">
        <f t="shared" si="3"/>
        <v>6487.3099999999995</v>
      </c>
    </row>
    <row r="220" spans="1:7" x14ac:dyDescent="0.2">
      <c r="A220" s="20" t="s">
        <v>739</v>
      </c>
      <c r="B220" s="21"/>
      <c r="C220" s="21"/>
      <c r="D220" s="21"/>
      <c r="E220" s="19">
        <f>3053.24</f>
        <v>3053.24</v>
      </c>
      <c r="F220" s="21"/>
      <c r="G220" s="19">
        <f t="shared" si="3"/>
        <v>3053.24</v>
      </c>
    </row>
    <row r="221" spans="1:7" x14ac:dyDescent="0.2">
      <c r="A221" s="20" t="s">
        <v>401</v>
      </c>
      <c r="B221" s="21"/>
      <c r="C221" s="21"/>
      <c r="D221" s="21"/>
      <c r="E221" s="21"/>
      <c r="F221" s="21"/>
      <c r="G221" s="19">
        <f t="shared" si="3"/>
        <v>0</v>
      </c>
    </row>
    <row r="222" spans="1:7" x14ac:dyDescent="0.2">
      <c r="A222" s="20" t="s">
        <v>418</v>
      </c>
      <c r="B222" s="21"/>
      <c r="C222" s="21"/>
      <c r="D222" s="21"/>
      <c r="E222" s="19">
        <f>10825</f>
        <v>10825</v>
      </c>
      <c r="F222" s="21"/>
      <c r="G222" s="19">
        <f t="shared" si="3"/>
        <v>10825</v>
      </c>
    </row>
    <row r="223" spans="1:7" x14ac:dyDescent="0.2">
      <c r="A223" s="20" t="s">
        <v>434</v>
      </c>
      <c r="B223" s="22">
        <f>(B221)+(B222)</f>
        <v>0</v>
      </c>
      <c r="C223" s="22">
        <f>(C221)+(C222)</f>
        <v>0</v>
      </c>
      <c r="D223" s="22">
        <f>(D221)+(D222)</f>
        <v>0</v>
      </c>
      <c r="E223" s="22">
        <f>(E221)+(E222)</f>
        <v>10825</v>
      </c>
      <c r="F223" s="22">
        <f>(F221)+(F222)</f>
        <v>0</v>
      </c>
      <c r="G223" s="22">
        <f t="shared" si="3"/>
        <v>10825</v>
      </c>
    </row>
    <row r="224" spans="1:7" x14ac:dyDescent="0.2">
      <c r="A224" s="20" t="s">
        <v>303</v>
      </c>
      <c r="B224" s="22">
        <f>((((((((B210)+(B211))+(B212))+(B213))+(B214))+(B215))+(B219))+(B220))+(B223)</f>
        <v>0</v>
      </c>
      <c r="C224" s="22">
        <f>((((((((C210)+(C211))+(C212))+(C213))+(C214))+(C215))+(C219))+(C220))+(C223)</f>
        <v>0</v>
      </c>
      <c r="D224" s="22">
        <f>((((((((D210)+(D211))+(D212))+(D213))+(D214))+(D215))+(D219))+(D220))+(D223)</f>
        <v>0</v>
      </c>
      <c r="E224" s="22">
        <f>((((((((E210)+(E211))+(E212))+(E213))+(E214))+(E215))+(E219))+(E220))+(E223)</f>
        <v>91274.630000000019</v>
      </c>
      <c r="F224" s="22">
        <f>((((((((F210)+(F211))+(F212))+(F213))+(F214))+(F215))+(F219))+(F220))+(F223)</f>
        <v>0</v>
      </c>
      <c r="G224" s="22">
        <f t="shared" si="3"/>
        <v>91274.630000000019</v>
      </c>
    </row>
    <row r="225" spans="1:7" x14ac:dyDescent="0.2">
      <c r="A225" s="20" t="s">
        <v>304</v>
      </c>
      <c r="B225" s="22">
        <f>((B198)+(B209))+(B224)</f>
        <v>0</v>
      </c>
      <c r="C225" s="22">
        <f>((C198)+(C209))+(C224)</f>
        <v>0</v>
      </c>
      <c r="D225" s="22">
        <f>((D198)+(D209))+(D224)</f>
        <v>0</v>
      </c>
      <c r="E225" s="22">
        <f>((E198)+(E209))+(E224)</f>
        <v>108659.35000000002</v>
      </c>
      <c r="F225" s="22">
        <f>((F198)+(F209))+(F224)</f>
        <v>0</v>
      </c>
      <c r="G225" s="22">
        <f t="shared" si="3"/>
        <v>108659.35000000002</v>
      </c>
    </row>
    <row r="226" spans="1:7" x14ac:dyDescent="0.2">
      <c r="A226" s="20" t="s">
        <v>305</v>
      </c>
      <c r="B226" s="22">
        <f>(((B155)+(B190))+(B197))+(B225)</f>
        <v>0</v>
      </c>
      <c r="C226" s="22">
        <f>(((C155)+(C190))+(C197))+(C225)</f>
        <v>0</v>
      </c>
      <c r="D226" s="22">
        <f>(((D155)+(D190))+(D197))+(D225)</f>
        <v>125523.29</v>
      </c>
      <c r="E226" s="22">
        <f>(((E155)+(E190))+(E197))+(E225)</f>
        <v>208338.06</v>
      </c>
      <c r="F226" s="22">
        <f>(((F155)+(F190))+(F197))+(F225)</f>
        <v>0</v>
      </c>
      <c r="G226" s="22">
        <f t="shared" si="3"/>
        <v>333861.34999999998</v>
      </c>
    </row>
    <row r="227" spans="1:7" x14ac:dyDescent="0.2">
      <c r="A227" s="20" t="s">
        <v>306</v>
      </c>
      <c r="B227" s="22">
        <f>(B154)+(B226)</f>
        <v>256740.13000000003</v>
      </c>
      <c r="C227" s="22">
        <f>(C154)+(C226)</f>
        <v>0</v>
      </c>
      <c r="D227" s="22">
        <f>(D154)+(D226)</f>
        <v>125523.29</v>
      </c>
      <c r="E227" s="22">
        <f>(E154)+(E226)</f>
        <v>208338.06</v>
      </c>
      <c r="F227" s="22">
        <f>(F154)+(F226)</f>
        <v>0</v>
      </c>
      <c r="G227" s="22">
        <f t="shared" si="3"/>
        <v>590601.48</v>
      </c>
    </row>
    <row r="228" spans="1:7" x14ac:dyDescent="0.2">
      <c r="A228" s="20" t="s">
        <v>307</v>
      </c>
      <c r="B228" s="22">
        <f>(B45)-(B227)</f>
        <v>-40942.860000000015</v>
      </c>
      <c r="C228" s="22">
        <f>(C45)-(C227)</f>
        <v>0</v>
      </c>
      <c r="D228" s="22">
        <f>(D45)-(D227)</f>
        <v>-43300.05</v>
      </c>
      <c r="E228" s="22">
        <f>(E45)-(E227)</f>
        <v>-71174.729999999981</v>
      </c>
      <c r="F228" s="22">
        <f>(F45)-(F227)</f>
        <v>0</v>
      </c>
      <c r="G228" s="22">
        <f t="shared" si="3"/>
        <v>-155417.64000000001</v>
      </c>
    </row>
    <row r="229" spans="1:7" x14ac:dyDescent="0.2">
      <c r="A229" s="20" t="s">
        <v>8</v>
      </c>
      <c r="B229" s="21"/>
      <c r="C229" s="21"/>
      <c r="D229" s="21"/>
      <c r="E229" s="21"/>
      <c r="F229" s="21"/>
      <c r="G229" s="21"/>
    </row>
    <row r="230" spans="1:7" x14ac:dyDescent="0.2">
      <c r="A230" s="20" t="s">
        <v>308</v>
      </c>
      <c r="B230" s="21"/>
      <c r="C230" s="21"/>
      <c r="D230" s="21"/>
      <c r="E230" s="21"/>
      <c r="F230" s="21"/>
      <c r="G230" s="19">
        <f t="shared" ref="G230:G247" si="4">((((B230)+(C230))+(D230))+(E230))+(F230)</f>
        <v>0</v>
      </c>
    </row>
    <row r="231" spans="1:7" x14ac:dyDescent="0.2">
      <c r="A231" s="20" t="s">
        <v>732</v>
      </c>
      <c r="B231" s="21"/>
      <c r="C231" s="21"/>
      <c r="D231" s="21"/>
      <c r="E231" s="21"/>
      <c r="F231" s="21"/>
      <c r="G231" s="19">
        <f t="shared" si="4"/>
        <v>0</v>
      </c>
    </row>
    <row r="232" spans="1:7" x14ac:dyDescent="0.2">
      <c r="A232" s="20" t="s">
        <v>733</v>
      </c>
      <c r="B232" s="21"/>
      <c r="C232" s="19">
        <f>15400</f>
        <v>15400</v>
      </c>
      <c r="D232" s="21"/>
      <c r="E232" s="21"/>
      <c r="F232" s="21"/>
      <c r="G232" s="19">
        <f t="shared" si="4"/>
        <v>15400</v>
      </c>
    </row>
    <row r="233" spans="1:7" x14ac:dyDescent="0.2">
      <c r="A233" s="20" t="s">
        <v>734</v>
      </c>
      <c r="B233" s="22">
        <f>(B231)+(B232)</f>
        <v>0</v>
      </c>
      <c r="C233" s="22">
        <f>(C231)+(C232)</f>
        <v>15400</v>
      </c>
      <c r="D233" s="22">
        <f>(D231)+(D232)</f>
        <v>0</v>
      </c>
      <c r="E233" s="22">
        <f>(E231)+(E232)</f>
        <v>0</v>
      </c>
      <c r="F233" s="22">
        <f>(F231)+(F232)</f>
        <v>0</v>
      </c>
      <c r="G233" s="22">
        <f t="shared" si="4"/>
        <v>15400</v>
      </c>
    </row>
    <row r="234" spans="1:7" x14ac:dyDescent="0.2">
      <c r="A234" s="20" t="s">
        <v>694</v>
      </c>
      <c r="B234" s="21"/>
      <c r="C234" s="21"/>
      <c r="D234" s="21"/>
      <c r="E234" s="21"/>
      <c r="F234" s="21"/>
      <c r="G234" s="19">
        <f t="shared" si="4"/>
        <v>0</v>
      </c>
    </row>
    <row r="235" spans="1:7" x14ac:dyDescent="0.2">
      <c r="A235" s="20" t="s">
        <v>695</v>
      </c>
      <c r="B235" s="21"/>
      <c r="C235" s="19">
        <f>162.8</f>
        <v>162.80000000000001</v>
      </c>
      <c r="D235" s="21"/>
      <c r="E235" s="21"/>
      <c r="F235" s="21"/>
      <c r="G235" s="19">
        <f t="shared" si="4"/>
        <v>162.80000000000001</v>
      </c>
    </row>
    <row r="236" spans="1:7" x14ac:dyDescent="0.2">
      <c r="A236" s="20" t="s">
        <v>696</v>
      </c>
      <c r="B236" s="22">
        <f>(B234)+(B235)</f>
        <v>0</v>
      </c>
      <c r="C236" s="22">
        <f>(C234)+(C235)</f>
        <v>162.80000000000001</v>
      </c>
      <c r="D236" s="22">
        <f>(D234)+(D235)</f>
        <v>0</v>
      </c>
      <c r="E236" s="22">
        <f>(E234)+(E235)</f>
        <v>0</v>
      </c>
      <c r="F236" s="22">
        <f>(F234)+(F235)</f>
        <v>0</v>
      </c>
      <c r="G236" s="22">
        <f t="shared" si="4"/>
        <v>162.80000000000001</v>
      </c>
    </row>
    <row r="237" spans="1:7" x14ac:dyDescent="0.2">
      <c r="A237" s="20" t="s">
        <v>309</v>
      </c>
      <c r="B237" s="21"/>
      <c r="C237" s="19">
        <f>5862.27</f>
        <v>5862.27</v>
      </c>
      <c r="D237" s="21"/>
      <c r="E237" s="21"/>
      <c r="F237" s="21"/>
      <c r="G237" s="19">
        <f t="shared" si="4"/>
        <v>5862.27</v>
      </c>
    </row>
    <row r="238" spans="1:7" x14ac:dyDescent="0.2">
      <c r="A238" s="20" t="s">
        <v>700</v>
      </c>
      <c r="B238" s="21"/>
      <c r="C238" s="19">
        <f>5000</f>
        <v>5000</v>
      </c>
      <c r="D238" s="21"/>
      <c r="E238" s="21"/>
      <c r="F238" s="21"/>
      <c r="G238" s="19">
        <f t="shared" si="4"/>
        <v>5000</v>
      </c>
    </row>
    <row r="239" spans="1:7" x14ac:dyDescent="0.2">
      <c r="A239" s="20" t="s">
        <v>602</v>
      </c>
      <c r="B239" s="21"/>
      <c r="C239" s="19">
        <f>323.92</f>
        <v>323.92</v>
      </c>
      <c r="D239" s="21"/>
      <c r="E239" s="21"/>
      <c r="F239" s="21"/>
      <c r="G239" s="19">
        <f t="shared" si="4"/>
        <v>323.92</v>
      </c>
    </row>
    <row r="240" spans="1:7" x14ac:dyDescent="0.2">
      <c r="A240" s="20" t="s">
        <v>310</v>
      </c>
      <c r="B240" s="22">
        <f>(((((B230)+(B233))+(B236))+(B237))+(B238))+(B239)</f>
        <v>0</v>
      </c>
      <c r="C240" s="22">
        <f>(((((C230)+(C233))+(C236))+(C237))+(C238))+(C239)</f>
        <v>26748.989999999998</v>
      </c>
      <c r="D240" s="22">
        <f>(((((D230)+(D233))+(D236))+(D237))+(D238))+(D239)</f>
        <v>0</v>
      </c>
      <c r="E240" s="22">
        <f>(((((E230)+(E233))+(E236))+(E237))+(E238))+(E239)</f>
        <v>0</v>
      </c>
      <c r="F240" s="22">
        <f>(((((F230)+(F233))+(F236))+(F237))+(F238))+(F239)</f>
        <v>0</v>
      </c>
      <c r="G240" s="22">
        <f t="shared" si="4"/>
        <v>26748.989999999998</v>
      </c>
    </row>
    <row r="241" spans="1:7" x14ac:dyDescent="0.2">
      <c r="A241" s="20" t="s">
        <v>680</v>
      </c>
      <c r="B241" s="21"/>
      <c r="C241" s="21"/>
      <c r="D241" s="21"/>
      <c r="E241" s="21"/>
      <c r="F241" s="21"/>
      <c r="G241" s="19">
        <f t="shared" si="4"/>
        <v>0</v>
      </c>
    </row>
    <row r="242" spans="1:7" x14ac:dyDescent="0.2">
      <c r="A242" s="20" t="s">
        <v>681</v>
      </c>
      <c r="B242" s="19">
        <f>10336.91</f>
        <v>10336.91</v>
      </c>
      <c r="C242" s="21"/>
      <c r="D242" s="21"/>
      <c r="E242" s="21"/>
      <c r="F242" s="21"/>
      <c r="G242" s="19">
        <f t="shared" si="4"/>
        <v>10336.91</v>
      </c>
    </row>
    <row r="243" spans="1:7" x14ac:dyDescent="0.2">
      <c r="A243" s="20" t="s">
        <v>704</v>
      </c>
      <c r="B243" s="19">
        <f>852.11</f>
        <v>852.11</v>
      </c>
      <c r="C243" s="21"/>
      <c r="D243" s="21"/>
      <c r="E243" s="21"/>
      <c r="F243" s="21"/>
      <c r="G243" s="19">
        <f t="shared" si="4"/>
        <v>852.11</v>
      </c>
    </row>
    <row r="244" spans="1:7" x14ac:dyDescent="0.2">
      <c r="A244" s="20" t="s">
        <v>682</v>
      </c>
      <c r="B244" s="21"/>
      <c r="C244" s="21"/>
      <c r="D244" s="21"/>
      <c r="E244" s="19">
        <f>3061.04</f>
        <v>3061.04</v>
      </c>
      <c r="F244" s="21"/>
      <c r="G244" s="19">
        <f t="shared" si="4"/>
        <v>3061.04</v>
      </c>
    </row>
    <row r="245" spans="1:7" x14ac:dyDescent="0.2">
      <c r="A245" s="20" t="s">
        <v>683</v>
      </c>
      <c r="B245" s="19">
        <f>0</f>
        <v>0</v>
      </c>
      <c r="C245" s="21"/>
      <c r="D245" s="21"/>
      <c r="E245" s="19">
        <f>801.74</f>
        <v>801.74</v>
      </c>
      <c r="F245" s="21"/>
      <c r="G245" s="19">
        <f t="shared" si="4"/>
        <v>801.74</v>
      </c>
    </row>
    <row r="246" spans="1:7" x14ac:dyDescent="0.2">
      <c r="A246" s="20" t="s">
        <v>684</v>
      </c>
      <c r="B246" s="22">
        <f>((((B241)+(B242))+(B243))+(B244))+(B245)</f>
        <v>11189.02</v>
      </c>
      <c r="C246" s="22">
        <f>((((C241)+(C242))+(C243))+(C244))+(C245)</f>
        <v>0</v>
      </c>
      <c r="D246" s="22">
        <f>((((D241)+(D242))+(D243))+(D244))+(D245)</f>
        <v>0</v>
      </c>
      <c r="E246" s="22">
        <f>((((E241)+(E242))+(E243))+(E244))+(E245)</f>
        <v>3862.7799999999997</v>
      </c>
      <c r="F246" s="22">
        <f>((((F241)+(F242))+(F243))+(F244))+(F245)</f>
        <v>0</v>
      </c>
      <c r="G246" s="22">
        <f t="shared" si="4"/>
        <v>15051.8</v>
      </c>
    </row>
    <row r="247" spans="1:7" x14ac:dyDescent="0.2">
      <c r="A247" s="20" t="s">
        <v>9</v>
      </c>
      <c r="B247" s="22">
        <f>(B240)+(B246)</f>
        <v>11189.02</v>
      </c>
      <c r="C247" s="22">
        <f>(C240)+(C246)</f>
        <v>26748.989999999998</v>
      </c>
      <c r="D247" s="22">
        <f>(D240)+(D246)</f>
        <v>0</v>
      </c>
      <c r="E247" s="22">
        <f>(E240)+(E246)</f>
        <v>3862.7799999999997</v>
      </c>
      <c r="F247" s="22">
        <f>(F240)+(F246)</f>
        <v>0</v>
      </c>
      <c r="G247" s="22">
        <f t="shared" si="4"/>
        <v>41800.789999999994</v>
      </c>
    </row>
    <row r="248" spans="1:7" x14ac:dyDescent="0.2">
      <c r="A248" s="20" t="s">
        <v>665</v>
      </c>
      <c r="B248" s="21"/>
      <c r="C248" s="21"/>
      <c r="D248" s="21"/>
      <c r="E248" s="21"/>
      <c r="F248" s="21"/>
      <c r="G248" s="21"/>
    </row>
    <row r="249" spans="1:7" x14ac:dyDescent="0.2">
      <c r="A249" s="20" t="s">
        <v>666</v>
      </c>
      <c r="B249" s="21"/>
      <c r="C249" s="21"/>
      <c r="D249" s="21"/>
      <c r="E249" s="21"/>
      <c r="F249" s="21"/>
      <c r="G249" s="19">
        <f t="shared" ref="G249:G254" si="5">((((B249)+(C249))+(D249))+(E249))+(F249)</f>
        <v>0</v>
      </c>
    </row>
    <row r="250" spans="1:7" x14ac:dyDescent="0.2">
      <c r="A250" s="20" t="s">
        <v>667</v>
      </c>
      <c r="B250" s="21"/>
      <c r="C250" s="19">
        <f>1515.58</f>
        <v>1515.58</v>
      </c>
      <c r="D250" s="21"/>
      <c r="E250" s="21"/>
      <c r="F250" s="21"/>
      <c r="G250" s="19">
        <f t="shared" si="5"/>
        <v>1515.58</v>
      </c>
    </row>
    <row r="251" spans="1:7" x14ac:dyDescent="0.2">
      <c r="A251" s="20" t="s">
        <v>668</v>
      </c>
      <c r="B251" s="22">
        <f>(B249)+(B250)</f>
        <v>0</v>
      </c>
      <c r="C251" s="22">
        <f>(C249)+(C250)</f>
        <v>1515.58</v>
      </c>
      <c r="D251" s="22">
        <f>(D249)+(D250)</f>
        <v>0</v>
      </c>
      <c r="E251" s="22">
        <f>(E249)+(E250)</f>
        <v>0</v>
      </c>
      <c r="F251" s="22">
        <f>(F249)+(F250)</f>
        <v>0</v>
      </c>
      <c r="G251" s="22">
        <f t="shared" si="5"/>
        <v>1515.58</v>
      </c>
    </row>
    <row r="252" spans="1:7" x14ac:dyDescent="0.2">
      <c r="A252" s="20" t="s">
        <v>669</v>
      </c>
      <c r="B252" s="22">
        <f>B251</f>
        <v>0</v>
      </c>
      <c r="C252" s="22">
        <f>C251</f>
        <v>1515.58</v>
      </c>
      <c r="D252" s="22">
        <f>D251</f>
        <v>0</v>
      </c>
      <c r="E252" s="22">
        <f>E251</f>
        <v>0</v>
      </c>
      <c r="F252" s="22">
        <f>F251</f>
        <v>0</v>
      </c>
      <c r="G252" s="22">
        <f t="shared" si="5"/>
        <v>1515.58</v>
      </c>
    </row>
    <row r="253" spans="1:7" x14ac:dyDescent="0.2">
      <c r="A253" s="20" t="s">
        <v>10</v>
      </c>
      <c r="B253" s="22">
        <f>(B247)-(B252)</f>
        <v>11189.02</v>
      </c>
      <c r="C253" s="22">
        <f>(C247)-(C252)</f>
        <v>25233.409999999996</v>
      </c>
      <c r="D253" s="22">
        <f>(D247)-(D252)</f>
        <v>0</v>
      </c>
      <c r="E253" s="22">
        <f>(E247)-(E252)</f>
        <v>3862.7799999999997</v>
      </c>
      <c r="F253" s="22">
        <f>(F247)-(F252)</f>
        <v>0</v>
      </c>
      <c r="G253" s="22">
        <f t="shared" si="5"/>
        <v>40285.209999999992</v>
      </c>
    </row>
    <row r="254" spans="1:7" x14ac:dyDescent="0.2">
      <c r="A254" s="20" t="s">
        <v>3</v>
      </c>
      <c r="B254" s="22">
        <f>(B228)+(B253)</f>
        <v>-29753.840000000015</v>
      </c>
      <c r="C254" s="22">
        <f>(C228)+(C253)</f>
        <v>25233.409999999996</v>
      </c>
      <c r="D254" s="22">
        <f>(D228)+(D253)</f>
        <v>-43300.05</v>
      </c>
      <c r="E254" s="22">
        <f>(E228)+(E253)</f>
        <v>-67311.949999999983</v>
      </c>
      <c r="F254" s="22">
        <f>(F228)+(F253)</f>
        <v>0</v>
      </c>
      <c r="G254" s="22">
        <f t="shared" si="5"/>
        <v>-115132.43000000001</v>
      </c>
    </row>
    <row r="255" spans="1:7" x14ac:dyDescent="0.2">
      <c r="A255" s="20"/>
      <c r="B255" s="21"/>
      <c r="C255" s="21"/>
      <c r="D255" s="21"/>
      <c r="E255" s="21"/>
      <c r="F255" s="21"/>
      <c r="G255" s="21"/>
    </row>
    <row r="258" spans="1:7" x14ac:dyDescent="0.2">
      <c r="A258" s="324" t="s">
        <v>758</v>
      </c>
      <c r="B258" s="319"/>
      <c r="C258" s="319"/>
      <c r="D258" s="319"/>
      <c r="E258" s="319"/>
      <c r="F258" s="319"/>
      <c r="G258" s="319"/>
    </row>
  </sheetData>
  <mergeCells count="4">
    <mergeCell ref="A258:G258"/>
    <mergeCell ref="A1:G1"/>
    <mergeCell ref="A2:G2"/>
    <mergeCell ref="A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112"/>
  <sheetViews>
    <sheetView topLeftCell="C1" workbookViewId="0">
      <pane xSplit="1" ySplit="3" topLeftCell="P4" activePane="bottomRight" state="frozen"/>
      <selection activeCell="C1" sqref="C1"/>
      <selection pane="topRight" activeCell="D1" sqref="D1"/>
      <selection pane="bottomLeft" activeCell="C4" sqref="C4"/>
      <selection pane="bottomRight" activeCell="C1" sqref="C1"/>
    </sheetView>
  </sheetViews>
  <sheetFormatPr baseColWidth="10" defaultColWidth="11.83203125" defaultRowHeight="11" x14ac:dyDescent="0.15"/>
  <cols>
    <col min="1" max="1" width="11.83203125" style="50" customWidth="1"/>
    <col min="2" max="2" width="11.1640625" style="50" customWidth="1"/>
    <col min="3" max="3" width="32.33203125" style="50" customWidth="1"/>
    <col min="4" max="6" width="11.83203125" style="39" hidden="1" customWidth="1"/>
    <col min="7" max="8" width="9.6640625" style="39" hidden="1" customWidth="1"/>
    <col min="9" max="9" width="11.83203125" style="39" hidden="1" customWidth="1"/>
    <col min="10" max="10" width="2.6640625" style="39" hidden="1" customWidth="1"/>
    <col min="11" max="11" width="10" style="39" hidden="1" customWidth="1"/>
    <col min="12" max="12" width="9.6640625" style="39" hidden="1" customWidth="1"/>
    <col min="13" max="13" width="8.5" style="39" hidden="1" customWidth="1"/>
    <col min="14" max="14" width="11.83203125" style="39" hidden="1" customWidth="1"/>
    <col min="15" max="15" width="4.6640625" style="39" hidden="1" customWidth="1"/>
    <col min="16" max="16" width="17.6640625" style="39" customWidth="1"/>
    <col min="17" max="18" width="14.5" style="39" customWidth="1"/>
    <col min="19" max="16384" width="11.83203125" style="39"/>
  </cols>
  <sheetData>
    <row r="1" spans="1:255" x14ac:dyDescent="0.15">
      <c r="C1" s="51" t="s">
        <v>65</v>
      </c>
    </row>
    <row r="2" spans="1:255" x14ac:dyDescent="0.15">
      <c r="A2" s="43"/>
      <c r="B2" s="43"/>
      <c r="C2" s="51" t="s">
        <v>66</v>
      </c>
      <c r="D2" s="52" t="s">
        <v>11</v>
      </c>
      <c r="E2" s="43"/>
      <c r="F2" s="326"/>
      <c r="G2" s="327"/>
      <c r="H2" s="327"/>
      <c r="I2" s="53"/>
      <c r="J2" s="43"/>
      <c r="K2" s="326" t="s">
        <v>67</v>
      </c>
      <c r="L2" s="327"/>
      <c r="M2" s="328"/>
      <c r="N2" s="329"/>
      <c r="O2" s="53"/>
      <c r="P2" s="52" t="s">
        <v>11</v>
      </c>
      <c r="Q2" s="53"/>
      <c r="R2" s="53"/>
    </row>
    <row r="3" spans="1:255" ht="36" x14ac:dyDescent="0.15">
      <c r="A3" s="54" t="s">
        <v>68</v>
      </c>
      <c r="B3" s="54" t="s">
        <v>69</v>
      </c>
      <c r="C3" s="55">
        <v>2024</v>
      </c>
      <c r="D3" s="84" t="s">
        <v>698</v>
      </c>
      <c r="E3" s="56"/>
      <c r="H3" s="37" t="s">
        <v>524</v>
      </c>
      <c r="I3" s="37" t="s">
        <v>525</v>
      </c>
      <c r="J3" s="56"/>
      <c r="K3" s="37"/>
      <c r="L3" s="69" t="s">
        <v>526</v>
      </c>
      <c r="M3" s="57"/>
      <c r="N3" s="58" t="s">
        <v>70</v>
      </c>
      <c r="O3" s="59"/>
      <c r="P3" s="60" t="s">
        <v>750</v>
      </c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</row>
    <row r="4" spans="1:255" x14ac:dyDescent="0.15">
      <c r="A4" s="39"/>
      <c r="B4" s="39"/>
      <c r="C4" s="32"/>
      <c r="D4" s="17"/>
      <c r="E4" s="17"/>
      <c r="F4" s="30"/>
      <c r="G4" s="30"/>
      <c r="H4" s="30"/>
      <c r="I4" s="30"/>
      <c r="J4" s="17"/>
      <c r="K4" s="30"/>
      <c r="L4" s="30"/>
      <c r="M4" s="30"/>
      <c r="N4" s="30"/>
      <c r="O4" s="30"/>
      <c r="P4" s="30"/>
      <c r="Q4" s="30"/>
      <c r="R4" s="30"/>
    </row>
    <row r="5" spans="1:255" x14ac:dyDescent="0.15">
      <c r="A5" s="45"/>
      <c r="B5" s="45"/>
      <c r="C5" s="46" t="s">
        <v>71</v>
      </c>
      <c r="D5" s="47"/>
      <c r="E5" s="47"/>
      <c r="F5" s="31"/>
      <c r="G5" s="31"/>
      <c r="H5" s="31"/>
      <c r="I5" s="31"/>
      <c r="J5" s="47"/>
      <c r="K5" s="31"/>
      <c r="L5" s="31"/>
      <c r="M5" s="31"/>
      <c r="N5" s="31"/>
      <c r="O5" s="31"/>
      <c r="P5" s="31"/>
      <c r="Q5" s="31"/>
      <c r="R5" s="31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</row>
    <row r="6" spans="1:255" x14ac:dyDescent="0.15">
      <c r="A6" s="32"/>
      <c r="B6" s="32"/>
      <c r="C6" s="32"/>
      <c r="D6" s="17"/>
      <c r="E6" s="17"/>
      <c r="F6" s="30"/>
      <c r="G6" s="30"/>
      <c r="H6" s="30"/>
      <c r="I6" s="30"/>
      <c r="J6" s="17"/>
      <c r="K6" s="30"/>
      <c r="L6" s="30"/>
      <c r="M6" s="30"/>
      <c r="N6" s="30"/>
      <c r="O6" s="30"/>
      <c r="P6" s="30"/>
      <c r="Q6" s="30"/>
      <c r="R6" s="30"/>
    </row>
    <row r="7" spans="1:255" x14ac:dyDescent="0.15">
      <c r="A7" s="32"/>
      <c r="B7" s="32"/>
      <c r="C7" s="32"/>
      <c r="D7" s="17"/>
      <c r="E7" s="17"/>
      <c r="F7" s="30"/>
      <c r="G7" s="30"/>
      <c r="H7" s="30"/>
      <c r="I7" s="30"/>
      <c r="J7" s="17"/>
      <c r="K7" s="30"/>
      <c r="M7" s="30"/>
      <c r="N7" s="30"/>
      <c r="O7" s="30"/>
      <c r="P7" s="33"/>
      <c r="Q7" s="30"/>
      <c r="R7" s="30"/>
    </row>
    <row r="8" spans="1:255" x14ac:dyDescent="0.15">
      <c r="B8" s="32" t="s">
        <v>475</v>
      </c>
      <c r="C8" s="32" t="s">
        <v>417</v>
      </c>
      <c r="D8" s="17">
        <v>11760.93</v>
      </c>
      <c r="E8" s="17">
        <f>D8</f>
        <v>11760.93</v>
      </c>
      <c r="F8" s="30"/>
      <c r="G8" s="30"/>
      <c r="H8" s="30"/>
      <c r="I8" s="30"/>
      <c r="J8" s="17"/>
      <c r="K8" s="30"/>
      <c r="L8" s="30"/>
      <c r="M8" s="30"/>
      <c r="N8" s="30"/>
      <c r="O8" s="30"/>
      <c r="P8" s="33">
        <f>D8+H8-L8</f>
        <v>11760.93</v>
      </c>
      <c r="Q8" s="30" t="s">
        <v>639</v>
      </c>
      <c r="R8" s="30"/>
    </row>
    <row r="9" spans="1:255" x14ac:dyDescent="0.15">
      <c r="B9" s="32"/>
      <c r="C9" s="32"/>
      <c r="D9" s="17"/>
      <c r="E9" s="17"/>
      <c r="F9" s="30"/>
      <c r="G9" s="30"/>
      <c r="H9" s="30"/>
      <c r="I9" s="30"/>
      <c r="J9" s="17"/>
      <c r="K9" s="30"/>
      <c r="L9" s="30"/>
      <c r="M9" s="30"/>
      <c r="N9" s="30"/>
      <c r="O9" s="30"/>
      <c r="P9" s="33"/>
      <c r="Q9" s="30"/>
      <c r="R9" s="30"/>
    </row>
    <row r="10" spans="1:255" x14ac:dyDescent="0.15">
      <c r="A10" s="32" t="s">
        <v>610</v>
      </c>
      <c r="B10" s="32" t="s">
        <v>476</v>
      </c>
      <c r="C10" s="32" t="s">
        <v>428</v>
      </c>
      <c r="D10" s="17">
        <v>0</v>
      </c>
      <c r="E10" s="17"/>
      <c r="F10" s="30"/>
      <c r="G10" s="30"/>
      <c r="H10" s="30"/>
      <c r="I10" s="30"/>
      <c r="J10" s="17"/>
      <c r="K10" s="30"/>
      <c r="L10" s="30"/>
      <c r="M10" s="30"/>
      <c r="N10" s="30"/>
      <c r="O10" s="30"/>
      <c r="P10" s="33"/>
      <c r="Q10" s="30"/>
      <c r="R10" s="30"/>
    </row>
    <row r="11" spans="1:255" x14ac:dyDescent="0.15">
      <c r="A11" s="32" t="s">
        <v>610</v>
      </c>
      <c r="B11" s="38"/>
      <c r="C11" s="32" t="s">
        <v>611</v>
      </c>
      <c r="D11" s="17">
        <v>5755</v>
      </c>
      <c r="E11" s="17"/>
      <c r="F11" s="30"/>
      <c r="G11" s="30"/>
      <c r="H11" s="30"/>
      <c r="I11" s="30"/>
      <c r="J11" s="17"/>
      <c r="K11" s="30"/>
      <c r="M11" s="30"/>
      <c r="N11" s="30"/>
      <c r="O11" s="30"/>
      <c r="P11" s="33"/>
      <c r="Q11" s="30"/>
      <c r="R11" s="30"/>
    </row>
    <row r="12" spans="1:255" x14ac:dyDescent="0.15">
      <c r="A12" s="32"/>
      <c r="B12" s="38"/>
      <c r="C12" s="32" t="s">
        <v>428</v>
      </c>
      <c r="D12" s="17">
        <v>6082.36</v>
      </c>
      <c r="E12" s="17"/>
      <c r="F12" s="30"/>
      <c r="G12" s="30"/>
      <c r="H12" s="30"/>
      <c r="I12" s="30"/>
      <c r="J12" s="17"/>
      <c r="K12" s="30"/>
      <c r="M12" s="30"/>
      <c r="N12" s="30"/>
      <c r="O12" s="30"/>
      <c r="P12" s="33"/>
      <c r="Q12" s="30"/>
      <c r="R12" s="30"/>
    </row>
    <row r="13" spans="1:255" x14ac:dyDescent="0.15">
      <c r="A13" s="32" t="s">
        <v>600</v>
      </c>
      <c r="B13" s="38"/>
      <c r="C13" s="146" t="s">
        <v>601</v>
      </c>
      <c r="D13" s="147"/>
      <c r="E13" s="147"/>
      <c r="F13" s="40"/>
      <c r="G13" s="40"/>
      <c r="H13" s="40"/>
      <c r="I13" s="148"/>
      <c r="J13" s="147"/>
      <c r="K13" s="40"/>
      <c r="L13" s="40"/>
      <c r="M13" s="40"/>
      <c r="N13" s="40"/>
      <c r="O13" s="40"/>
      <c r="P13" s="149"/>
      <c r="Q13" s="30"/>
      <c r="R13" s="30"/>
    </row>
    <row r="14" spans="1:255" x14ac:dyDescent="0.15">
      <c r="A14" s="32"/>
      <c r="B14" s="32"/>
      <c r="C14" s="32" t="s">
        <v>618</v>
      </c>
      <c r="D14" s="135">
        <f>SUM(D10:D12)</f>
        <v>11837.36</v>
      </c>
      <c r="E14" s="17">
        <f>D14</f>
        <v>11837.36</v>
      </c>
      <c r="F14" s="30"/>
      <c r="G14" s="30"/>
      <c r="H14" s="30"/>
      <c r="I14" s="30">
        <f>SUM(H11:H13)</f>
        <v>0</v>
      </c>
      <c r="J14" s="17"/>
      <c r="K14" s="30"/>
      <c r="L14" s="30">
        <f>SUM(L10:L13)</f>
        <v>0</v>
      </c>
      <c r="M14" s="30">
        <f>SUM(L13)</f>
        <v>0</v>
      </c>
      <c r="N14" s="30"/>
      <c r="O14" s="30"/>
      <c r="P14" s="33">
        <f>SUM(E14)</f>
        <v>11837.36</v>
      </c>
      <c r="Q14" s="30"/>
      <c r="R14" s="30"/>
    </row>
    <row r="15" spans="1:255" x14ac:dyDescent="0.15">
      <c r="A15" s="32"/>
      <c r="B15" s="32"/>
      <c r="C15" s="32"/>
      <c r="D15" s="17"/>
      <c r="E15" s="17"/>
      <c r="F15" s="30"/>
      <c r="G15" s="30"/>
      <c r="H15" s="30"/>
      <c r="I15" s="30"/>
      <c r="J15" s="17"/>
      <c r="K15" s="30"/>
      <c r="L15" s="30"/>
      <c r="M15" s="30"/>
      <c r="N15" s="30"/>
      <c r="O15" s="30"/>
      <c r="P15" s="33"/>
      <c r="Q15" s="30"/>
      <c r="R15" s="30"/>
    </row>
    <row r="16" spans="1:255" x14ac:dyDescent="0.15">
      <c r="A16" s="32"/>
      <c r="B16" s="32"/>
      <c r="C16" s="32"/>
      <c r="D16" s="17"/>
      <c r="E16" s="17"/>
      <c r="F16" s="30"/>
      <c r="G16" s="30"/>
      <c r="H16" s="30"/>
      <c r="I16" s="30"/>
      <c r="J16" s="17"/>
      <c r="K16" s="30"/>
      <c r="L16" s="30"/>
      <c r="M16" s="30"/>
      <c r="N16" s="30"/>
      <c r="O16" s="30"/>
      <c r="P16" s="33"/>
      <c r="Q16" s="30"/>
      <c r="R16" s="30"/>
    </row>
    <row r="18" spans="1:255" x14ac:dyDescent="0.15">
      <c r="A18" s="32"/>
      <c r="B18" s="32"/>
      <c r="C18" s="32"/>
      <c r="D18" s="17"/>
      <c r="E18" s="17"/>
      <c r="F18" s="30"/>
      <c r="G18" s="30"/>
      <c r="H18" s="30"/>
      <c r="I18" s="30"/>
      <c r="J18" s="17"/>
      <c r="K18" s="30"/>
      <c r="L18" s="30"/>
      <c r="M18" s="30"/>
      <c r="N18" s="30"/>
      <c r="O18" s="30"/>
      <c r="P18" s="33"/>
      <c r="Q18" s="30"/>
      <c r="R18" s="30"/>
    </row>
    <row r="19" spans="1:255" x14ac:dyDescent="0.15">
      <c r="M19" s="30"/>
    </row>
    <row r="20" spans="1:255" x14ac:dyDescent="0.15">
      <c r="A20" s="32"/>
      <c r="B20" s="32"/>
      <c r="C20" s="32" t="s">
        <v>541</v>
      </c>
      <c r="D20" s="17">
        <v>2000</v>
      </c>
      <c r="E20" s="17"/>
      <c r="F20" s="30"/>
      <c r="G20" s="30"/>
      <c r="H20" s="30"/>
      <c r="I20" s="30"/>
      <c r="J20" s="17"/>
      <c r="K20" s="30"/>
      <c r="L20" s="30"/>
      <c r="M20" s="30"/>
      <c r="N20" s="30"/>
      <c r="O20" s="30"/>
      <c r="P20" s="33">
        <f>D20+H20-L20</f>
        <v>2000</v>
      </c>
      <c r="Q20" s="30"/>
      <c r="R20" s="30" t="s">
        <v>639</v>
      </c>
    </row>
    <row r="21" spans="1:255" ht="12" thickBot="1" x14ac:dyDescent="0.2">
      <c r="A21" s="32" t="s">
        <v>89</v>
      </c>
      <c r="B21" s="50" t="s">
        <v>90</v>
      </c>
      <c r="C21" s="35" t="s">
        <v>72</v>
      </c>
      <c r="D21" s="41">
        <v>948.08</v>
      </c>
      <c r="E21" s="41"/>
      <c r="F21" s="36"/>
      <c r="G21" s="36"/>
      <c r="H21" s="36"/>
      <c r="I21" s="36"/>
      <c r="J21" s="41"/>
      <c r="K21" s="36"/>
      <c r="L21" s="36"/>
      <c r="M21" s="36"/>
      <c r="N21" s="36"/>
      <c r="O21" s="36"/>
      <c r="P21" s="75">
        <f>D21+I21-L21</f>
        <v>948.08</v>
      </c>
      <c r="Q21" s="36"/>
      <c r="R21" s="30" t="s">
        <v>639</v>
      </c>
    </row>
    <row r="22" spans="1:255" x14ac:dyDescent="0.15">
      <c r="A22" s="39"/>
      <c r="B22" s="39"/>
      <c r="C22" s="42" t="s">
        <v>419</v>
      </c>
      <c r="D22" s="17"/>
      <c r="E22" s="17">
        <f>SUM(D20:D21)</f>
        <v>2948.08</v>
      </c>
      <c r="F22" s="30">
        <f>SUM(E6:E22)</f>
        <v>26546.370000000003</v>
      </c>
      <c r="G22" s="30"/>
      <c r="H22" s="30"/>
      <c r="I22" s="30"/>
      <c r="J22" s="17"/>
      <c r="K22" s="30"/>
      <c r="L22" s="30"/>
      <c r="M22" s="37"/>
      <c r="N22" s="30"/>
      <c r="O22" s="30"/>
      <c r="P22" s="30"/>
      <c r="Q22" s="30">
        <f>SUM(P8:P21)</f>
        <v>26546.370000000003</v>
      </c>
      <c r="R22" s="30"/>
      <c r="S22" s="65"/>
      <c r="T22" s="61"/>
    </row>
    <row r="23" spans="1:255" ht="12" thickBot="1" x14ac:dyDescent="0.2">
      <c r="A23" s="39"/>
      <c r="B23" s="39"/>
      <c r="C23" s="32"/>
      <c r="D23" s="17"/>
      <c r="E23" s="17"/>
      <c r="F23" s="30"/>
      <c r="G23" s="30"/>
      <c r="H23" s="30"/>
      <c r="I23" s="30"/>
      <c r="J23" s="17"/>
      <c r="K23" s="30"/>
      <c r="L23" s="30"/>
      <c r="M23" s="30"/>
      <c r="N23" s="30"/>
      <c r="O23" s="30"/>
      <c r="P23" s="30"/>
      <c r="Q23" s="30"/>
      <c r="R23" s="30"/>
    </row>
    <row r="24" spans="1:255" ht="12" thickBot="1" x14ac:dyDescent="0.2">
      <c r="A24" s="45"/>
      <c r="B24" s="45"/>
      <c r="C24" s="150" t="s">
        <v>456</v>
      </c>
      <c r="D24" s="47"/>
      <c r="E24" s="47"/>
      <c r="F24" s="31"/>
      <c r="G24" s="31"/>
      <c r="H24" s="31"/>
      <c r="I24" s="31"/>
      <c r="J24" s="47"/>
      <c r="K24" s="31"/>
      <c r="L24" s="31"/>
      <c r="M24" s="31"/>
      <c r="N24" s="31"/>
      <c r="O24" s="31"/>
      <c r="P24" s="31"/>
      <c r="Q24" s="31"/>
      <c r="R24" s="31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</row>
    <row r="25" spans="1:255" ht="12" thickBot="1" x14ac:dyDescent="0.2">
      <c r="A25" s="32"/>
      <c r="B25" s="38"/>
      <c r="C25" s="34"/>
      <c r="D25" s="17"/>
      <c r="E25" s="17"/>
      <c r="F25" s="30"/>
      <c r="G25" s="30"/>
      <c r="H25" s="30"/>
      <c r="I25" s="30"/>
      <c r="J25" s="17"/>
      <c r="K25" s="30"/>
      <c r="L25" s="30"/>
      <c r="N25" s="30"/>
      <c r="O25" s="30"/>
      <c r="P25" s="33"/>
      <c r="Q25" s="30"/>
      <c r="R25" s="30"/>
    </row>
    <row r="26" spans="1:255" ht="12" x14ac:dyDescent="0.15">
      <c r="A26" s="32"/>
      <c r="B26" s="38"/>
      <c r="C26" s="34" t="s">
        <v>673</v>
      </c>
      <c r="D26" s="17">
        <v>0</v>
      </c>
      <c r="E26" s="17"/>
      <c r="F26" s="30"/>
      <c r="G26" s="30"/>
      <c r="H26" s="30">
        <v>142.4</v>
      </c>
      <c r="I26" s="30"/>
      <c r="J26" s="17"/>
      <c r="K26" s="30"/>
      <c r="L26" s="30"/>
      <c r="N26" s="30"/>
      <c r="O26" s="30"/>
      <c r="P26" s="157">
        <f>D26+H26-L26</f>
        <v>142.4</v>
      </c>
      <c r="Q26" s="158"/>
      <c r="R26" s="30"/>
    </row>
    <row r="27" spans="1:255" x14ac:dyDescent="0.15">
      <c r="A27" s="32"/>
      <c r="B27" s="38"/>
      <c r="C27" s="32" t="s">
        <v>469</v>
      </c>
      <c r="D27" s="17">
        <v>0</v>
      </c>
      <c r="E27" s="17"/>
      <c r="F27" s="30"/>
      <c r="G27" s="30"/>
      <c r="H27" s="30"/>
      <c r="I27" s="62"/>
      <c r="J27" s="17"/>
      <c r="K27" s="30"/>
      <c r="M27" s="30"/>
      <c r="N27" s="30"/>
      <c r="O27" s="30"/>
      <c r="P27" s="159"/>
      <c r="Q27" s="78"/>
      <c r="R27" s="30"/>
    </row>
    <row r="28" spans="1:255" x14ac:dyDescent="0.15">
      <c r="A28" s="32"/>
      <c r="B28" s="38"/>
      <c r="C28" s="32"/>
      <c r="D28" s="17"/>
      <c r="E28" s="17"/>
      <c r="F28" s="30"/>
      <c r="G28" s="30"/>
      <c r="H28" s="30"/>
      <c r="I28" s="30"/>
      <c r="J28" s="17"/>
      <c r="K28" s="30"/>
      <c r="L28" s="30"/>
      <c r="M28" s="30"/>
      <c r="N28" s="30"/>
      <c r="O28" s="30"/>
      <c r="P28" s="159"/>
      <c r="Q28" s="78"/>
      <c r="R28" s="30"/>
    </row>
    <row r="29" spans="1:255" ht="11.5" customHeight="1" x14ac:dyDescent="0.15">
      <c r="A29" s="32" t="s">
        <v>560</v>
      </c>
      <c r="B29" s="38" t="s">
        <v>561</v>
      </c>
      <c r="C29" s="32" t="s">
        <v>551</v>
      </c>
      <c r="D29" s="17">
        <v>1806.32</v>
      </c>
      <c r="E29" s="17">
        <f>SUM(D26:D29)</f>
        <v>1806.32</v>
      </c>
      <c r="F29" s="30"/>
      <c r="G29" s="30"/>
      <c r="H29" s="30"/>
      <c r="I29" s="30"/>
      <c r="J29" s="17"/>
      <c r="K29" s="30"/>
      <c r="L29" s="30"/>
      <c r="M29" s="30"/>
      <c r="N29" s="30"/>
      <c r="O29" s="30"/>
      <c r="P29" s="159">
        <f>D29+H29-L29</f>
        <v>1806.32</v>
      </c>
      <c r="Q29" s="78"/>
      <c r="R29" s="30"/>
    </row>
    <row r="30" spans="1:255" ht="11.5" customHeight="1" x14ac:dyDescent="0.15">
      <c r="A30" s="32"/>
      <c r="B30" s="38"/>
      <c r="C30" s="32"/>
      <c r="D30" s="17"/>
      <c r="E30" s="17"/>
      <c r="F30" s="30"/>
      <c r="G30" s="30"/>
      <c r="H30" s="30"/>
      <c r="I30" s="30"/>
      <c r="J30" s="17"/>
      <c r="K30" s="30"/>
      <c r="L30" s="30"/>
      <c r="M30" s="30"/>
      <c r="N30" s="30"/>
      <c r="O30" s="30"/>
      <c r="P30" s="159"/>
      <c r="Q30" s="78"/>
      <c r="R30" s="30"/>
    </row>
    <row r="31" spans="1:255" x14ac:dyDescent="0.15">
      <c r="C31" s="50" t="s">
        <v>691</v>
      </c>
      <c r="D31" s="30">
        <v>50000</v>
      </c>
      <c r="E31" s="30">
        <f>D31</f>
        <v>50000</v>
      </c>
      <c r="F31" s="30"/>
      <c r="H31" s="30">
        <v>15400</v>
      </c>
      <c r="I31" s="30"/>
      <c r="M31" s="30">
        <f>SUM(L29:L29)</f>
        <v>0</v>
      </c>
      <c r="P31" s="159">
        <f>D31+H31-L31</f>
        <v>65400</v>
      </c>
      <c r="Q31" s="80"/>
    </row>
    <row r="32" spans="1:255" x14ac:dyDescent="0.15">
      <c r="C32" s="50" t="s">
        <v>428</v>
      </c>
      <c r="D32" s="30"/>
      <c r="E32" s="30"/>
      <c r="F32" s="30"/>
      <c r="H32" s="30">
        <v>5000</v>
      </c>
      <c r="I32" s="30"/>
      <c r="M32" s="30"/>
      <c r="P32" s="159">
        <f>D32+H32-L32</f>
        <v>5000</v>
      </c>
      <c r="Q32" s="80"/>
    </row>
    <row r="33" spans="1:21" x14ac:dyDescent="0.15">
      <c r="H33" s="30"/>
      <c r="I33" s="30"/>
      <c r="M33" s="30"/>
      <c r="P33" s="81"/>
      <c r="Q33" s="80"/>
    </row>
    <row r="34" spans="1:21" x14ac:dyDescent="0.15">
      <c r="A34" s="32" t="s">
        <v>569</v>
      </c>
      <c r="B34" s="38" t="s">
        <v>570</v>
      </c>
      <c r="C34" s="32" t="s">
        <v>571</v>
      </c>
      <c r="D34" s="17">
        <v>1086.0899999999999</v>
      </c>
      <c r="E34" s="17"/>
      <c r="F34" s="30"/>
      <c r="G34" s="30"/>
      <c r="H34" s="30"/>
      <c r="I34" s="30"/>
      <c r="J34" s="17"/>
      <c r="K34" s="30"/>
      <c r="L34" s="30"/>
      <c r="M34" s="30"/>
      <c r="N34" s="30"/>
      <c r="O34" s="30"/>
      <c r="P34" s="159">
        <f>D34+H34-L34</f>
        <v>1086.0899999999999</v>
      </c>
      <c r="Q34" s="78"/>
      <c r="R34" s="30"/>
    </row>
    <row r="35" spans="1:21" x14ac:dyDescent="0.15">
      <c r="A35" s="32" t="s">
        <v>568</v>
      </c>
      <c r="B35" s="38" t="s">
        <v>563</v>
      </c>
      <c r="C35" s="32" t="s">
        <v>557</v>
      </c>
      <c r="D35" s="17"/>
      <c r="E35" s="17"/>
      <c r="F35" s="30"/>
      <c r="G35" s="30"/>
      <c r="H35" s="30"/>
      <c r="I35" s="30"/>
      <c r="J35" s="17"/>
      <c r="K35" s="30"/>
      <c r="L35" s="30"/>
      <c r="M35" s="30"/>
      <c r="N35" s="62"/>
      <c r="O35" s="30"/>
      <c r="P35" s="159">
        <f>D35+H35+I35-L35+N35</f>
        <v>0</v>
      </c>
      <c r="Q35" s="78"/>
      <c r="R35" s="30"/>
    </row>
    <row r="36" spans="1:21" x14ac:dyDescent="0.15">
      <c r="A36" s="32" t="s">
        <v>83</v>
      </c>
      <c r="B36" s="32" t="s">
        <v>562</v>
      </c>
      <c r="C36" s="32" t="s">
        <v>137</v>
      </c>
      <c r="D36" s="40">
        <v>180.43</v>
      </c>
      <c r="E36" s="40"/>
      <c r="F36" s="30"/>
      <c r="G36" s="30"/>
      <c r="H36" s="30"/>
      <c r="J36" s="30"/>
      <c r="K36" s="30"/>
      <c r="L36" s="30"/>
      <c r="N36" s="30"/>
      <c r="O36" s="30"/>
      <c r="P36" s="159">
        <f>D36+H36-L36</f>
        <v>180.43</v>
      </c>
      <c r="Q36" s="78"/>
      <c r="R36" s="30"/>
    </row>
    <row r="37" spans="1:21" ht="12" thickBot="1" x14ac:dyDescent="0.2">
      <c r="A37" s="32"/>
      <c r="B37" s="38"/>
      <c r="C37" s="32"/>
      <c r="D37" s="17"/>
      <c r="E37" s="17">
        <f>SUM(D34:D36)</f>
        <v>1266.52</v>
      </c>
      <c r="F37" s="40"/>
      <c r="G37" s="30"/>
      <c r="H37" s="30"/>
      <c r="I37" s="30"/>
      <c r="J37" s="17"/>
      <c r="K37" s="30"/>
      <c r="L37" s="30"/>
      <c r="M37" s="30"/>
      <c r="N37" s="30"/>
      <c r="O37" s="30"/>
      <c r="P37" s="160">
        <f>D37+H37-L37</f>
        <v>0</v>
      </c>
      <c r="Q37" s="79"/>
      <c r="R37" s="30"/>
    </row>
    <row r="38" spans="1:21" x14ac:dyDescent="0.15">
      <c r="A38" s="32"/>
      <c r="B38" s="38"/>
      <c r="C38" s="32"/>
      <c r="D38" s="17"/>
      <c r="E38" s="17"/>
      <c r="F38" s="30"/>
      <c r="G38" s="30"/>
      <c r="H38" s="30"/>
      <c r="I38" s="30"/>
      <c r="J38" s="17"/>
      <c r="K38" s="30"/>
      <c r="L38" s="30"/>
      <c r="M38" s="30"/>
      <c r="N38" s="30"/>
      <c r="O38" s="30"/>
      <c r="P38" s="315"/>
      <c r="Q38" s="316">
        <f>SUM(P26:P37)</f>
        <v>73615.239999999991</v>
      </c>
      <c r="R38" s="317">
        <f>Q38</f>
        <v>73615.239999999991</v>
      </c>
    </row>
    <row r="39" spans="1:21" x14ac:dyDescent="0.15">
      <c r="H39" s="30"/>
      <c r="P39" s="81"/>
      <c r="Q39" s="80"/>
    </row>
    <row r="40" spans="1:21" ht="12" thickBot="1" x14ac:dyDescent="0.2">
      <c r="A40" s="32"/>
      <c r="B40" s="38"/>
      <c r="C40" s="32"/>
      <c r="D40" s="17"/>
      <c r="E40" s="17"/>
      <c r="F40" s="30"/>
      <c r="G40" s="30"/>
      <c r="H40" s="30"/>
      <c r="I40" s="30"/>
      <c r="J40" s="17"/>
      <c r="K40" s="30"/>
      <c r="L40" s="30"/>
      <c r="M40" s="30"/>
      <c r="N40" s="30"/>
      <c r="O40" s="30"/>
      <c r="P40" s="161"/>
      <c r="Q40" s="80"/>
    </row>
    <row r="41" spans="1:21" ht="12" thickBot="1" x14ac:dyDescent="0.2">
      <c r="A41" s="32"/>
      <c r="B41" s="38"/>
      <c r="C41" s="150" t="s">
        <v>455</v>
      </c>
      <c r="D41" s="17"/>
      <c r="E41" s="17"/>
      <c r="F41" s="30"/>
      <c r="G41" s="30"/>
      <c r="H41" s="30"/>
      <c r="I41" s="30"/>
      <c r="J41" s="17"/>
      <c r="K41" s="30"/>
      <c r="L41" s="30"/>
      <c r="M41" s="30"/>
      <c r="N41" s="30"/>
      <c r="O41" s="30"/>
      <c r="P41" s="161"/>
      <c r="Q41" s="78"/>
      <c r="R41" s="30"/>
      <c r="U41" s="30"/>
    </row>
    <row r="42" spans="1:21" x14ac:dyDescent="0.15">
      <c r="A42" s="32"/>
      <c r="B42" s="32"/>
      <c r="C42" s="32"/>
      <c r="D42" s="17"/>
      <c r="E42" s="17"/>
      <c r="F42" s="30"/>
      <c r="G42" s="30"/>
      <c r="H42" s="30"/>
      <c r="I42" s="30"/>
      <c r="J42" s="17"/>
      <c r="K42" s="30"/>
      <c r="L42" s="30"/>
      <c r="M42" s="30"/>
      <c r="N42" s="30"/>
      <c r="O42" s="30"/>
      <c r="P42" s="159"/>
      <c r="Q42" s="78"/>
      <c r="R42" s="30"/>
    </row>
    <row r="43" spans="1:21" x14ac:dyDescent="0.15">
      <c r="A43" s="32" t="s">
        <v>623</v>
      </c>
      <c r="B43" s="32"/>
      <c r="C43" s="32" t="s">
        <v>624</v>
      </c>
      <c r="D43" s="17">
        <v>50000</v>
      </c>
      <c r="E43" s="17">
        <f>D43</f>
        <v>50000</v>
      </c>
      <c r="F43" s="30"/>
      <c r="G43" s="30"/>
      <c r="H43" s="30"/>
      <c r="I43" s="30"/>
      <c r="J43" s="17"/>
      <c r="K43" s="30"/>
      <c r="L43" s="30"/>
      <c r="M43" s="30"/>
      <c r="N43" s="30"/>
      <c r="O43" s="30"/>
      <c r="P43" s="33">
        <f>D43+H43+I43-L43</f>
        <v>50000</v>
      </c>
      <c r="Q43" s="30"/>
      <c r="R43" s="30" t="s">
        <v>639</v>
      </c>
    </row>
    <row r="44" spans="1:21" x14ac:dyDescent="0.15">
      <c r="H44" s="30"/>
      <c r="P44" s="33"/>
      <c r="Q44" s="80"/>
    </row>
    <row r="45" spans="1:21" x14ac:dyDescent="0.15">
      <c r="A45" s="32" t="s">
        <v>86</v>
      </c>
      <c r="B45" s="32" t="s">
        <v>87</v>
      </c>
      <c r="C45" s="32" t="s">
        <v>85</v>
      </c>
      <c r="D45" s="17">
        <v>4250.1499999999996</v>
      </c>
      <c r="E45" s="17"/>
      <c r="F45" s="30"/>
      <c r="G45" s="30"/>
      <c r="H45" s="30">
        <v>5628.1</v>
      </c>
      <c r="I45" s="30"/>
      <c r="J45" s="17"/>
      <c r="K45" s="30"/>
      <c r="L45" s="30"/>
      <c r="M45" s="30"/>
      <c r="N45" s="30"/>
      <c r="O45" s="30"/>
      <c r="P45" s="159">
        <f>D45+H45-L45+N45</f>
        <v>9878.25</v>
      </c>
      <c r="Q45" s="78"/>
      <c r="R45" s="30"/>
    </row>
    <row r="46" spans="1:21" x14ac:dyDescent="0.15">
      <c r="A46" s="32" t="s">
        <v>133</v>
      </c>
      <c r="B46" s="32" t="s">
        <v>79</v>
      </c>
      <c r="C46" s="32" t="s">
        <v>80</v>
      </c>
      <c r="D46" s="17">
        <v>4188.4799999999996</v>
      </c>
      <c r="E46" s="17"/>
      <c r="F46" s="30"/>
      <c r="G46" s="30"/>
      <c r="H46" s="30"/>
      <c r="I46" s="30"/>
      <c r="J46" s="17"/>
      <c r="K46" s="30"/>
      <c r="L46" s="30"/>
      <c r="M46" s="30"/>
      <c r="N46" s="30"/>
      <c r="O46" s="30"/>
      <c r="P46" s="159">
        <f>D46+H46-L46</f>
        <v>4188.4799999999996</v>
      </c>
      <c r="Q46" s="78"/>
      <c r="R46" s="30"/>
    </row>
    <row r="47" spans="1:21" x14ac:dyDescent="0.15">
      <c r="A47" s="32" t="s">
        <v>566</v>
      </c>
      <c r="B47" s="32"/>
      <c r="C47" s="32" t="s">
        <v>552</v>
      </c>
      <c r="D47" s="17">
        <v>119</v>
      </c>
      <c r="E47" s="17"/>
      <c r="F47" s="30"/>
      <c r="G47" s="30"/>
      <c r="H47" s="30"/>
      <c r="I47" s="30"/>
      <c r="J47" s="17"/>
      <c r="K47" s="30"/>
      <c r="L47" s="30"/>
      <c r="M47" s="30"/>
      <c r="N47" s="30"/>
      <c r="O47" s="30"/>
      <c r="P47" s="159">
        <f>D47+H47-L47</f>
        <v>119</v>
      </c>
      <c r="Q47" s="78"/>
      <c r="R47" s="30"/>
    </row>
    <row r="48" spans="1:21" x14ac:dyDescent="0.15">
      <c r="A48" s="32" t="s">
        <v>135</v>
      </c>
      <c r="B48" s="32" t="s">
        <v>81</v>
      </c>
      <c r="C48" s="32" t="s">
        <v>453</v>
      </c>
      <c r="D48" s="17">
        <v>5575.67</v>
      </c>
      <c r="E48" s="17"/>
      <c r="F48" s="30"/>
      <c r="G48" s="30"/>
      <c r="H48" s="30"/>
      <c r="I48" s="30"/>
      <c r="J48" s="17"/>
      <c r="K48" s="30"/>
      <c r="L48" s="30"/>
      <c r="M48" s="30"/>
      <c r="N48" s="30"/>
      <c r="O48" s="30"/>
      <c r="P48" s="159">
        <f>D48+H48-L48</f>
        <v>5575.67</v>
      </c>
      <c r="Q48" s="78"/>
      <c r="R48" s="30"/>
    </row>
    <row r="49" spans="1:21" ht="12" thickBot="1" x14ac:dyDescent="0.2">
      <c r="A49" s="32" t="s">
        <v>78</v>
      </c>
      <c r="B49" s="32" t="s">
        <v>79</v>
      </c>
      <c r="C49" s="32" t="s">
        <v>498</v>
      </c>
      <c r="D49" s="41">
        <v>7625.26</v>
      </c>
      <c r="E49" s="41"/>
      <c r="F49" s="30"/>
      <c r="G49" s="30"/>
      <c r="H49" s="30"/>
      <c r="I49" s="30"/>
      <c r="J49" s="17"/>
      <c r="K49" s="30"/>
      <c r="L49" s="30"/>
      <c r="M49" s="30"/>
      <c r="N49" s="30"/>
      <c r="O49" s="30"/>
      <c r="P49" s="159">
        <f>D49+H49-L49</f>
        <v>7625.26</v>
      </c>
      <c r="Q49" s="78"/>
      <c r="R49" s="30"/>
    </row>
    <row r="50" spans="1:21" x14ac:dyDescent="0.15">
      <c r="E50" s="30">
        <f>SUM(D45:D49)</f>
        <v>21758.559999999998</v>
      </c>
      <c r="F50" s="30"/>
      <c r="H50" s="30"/>
      <c r="P50" s="81"/>
      <c r="Q50" s="80"/>
    </row>
    <row r="51" spans="1:21" x14ac:dyDescent="0.15">
      <c r="A51" s="32" t="s">
        <v>84</v>
      </c>
      <c r="B51" s="32" t="s">
        <v>538</v>
      </c>
      <c r="C51" s="32" t="s">
        <v>131</v>
      </c>
      <c r="D51" s="17">
        <v>1191.6600000000001</v>
      </c>
      <c r="E51" s="17"/>
      <c r="F51" s="30"/>
      <c r="G51" s="30"/>
      <c r="H51" s="30">
        <v>323.92</v>
      </c>
      <c r="I51" s="30"/>
      <c r="J51" s="17"/>
      <c r="K51" s="30"/>
      <c r="L51" s="30">
        <v>1515.58</v>
      </c>
      <c r="M51" s="30"/>
      <c r="N51" s="30"/>
      <c r="O51" s="30"/>
      <c r="P51" s="159">
        <f>D51+H51-L51</f>
        <v>0</v>
      </c>
      <c r="Q51" s="78"/>
      <c r="R51" s="30"/>
    </row>
    <row r="52" spans="1:21" x14ac:dyDescent="0.15">
      <c r="A52" s="32" t="s">
        <v>73</v>
      </c>
      <c r="B52" s="32" t="s">
        <v>74</v>
      </c>
      <c r="C52" s="32" t="s">
        <v>75</v>
      </c>
      <c r="D52" s="30">
        <v>10564.96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159">
        <f>D52+H52-L52</f>
        <v>10564.96</v>
      </c>
      <c r="Q52" s="78"/>
      <c r="R52" s="30"/>
    </row>
    <row r="53" spans="1:21" x14ac:dyDescent="0.15">
      <c r="A53" s="32" t="s">
        <v>76</v>
      </c>
      <c r="B53" s="32" t="s">
        <v>77</v>
      </c>
      <c r="C53" s="32" t="s">
        <v>136</v>
      </c>
      <c r="D53" s="17">
        <v>1200.28</v>
      </c>
      <c r="E53" s="17"/>
      <c r="F53" s="30"/>
      <c r="G53" s="30"/>
      <c r="H53" s="30"/>
      <c r="I53" s="30"/>
      <c r="J53" s="17"/>
      <c r="K53" s="30"/>
      <c r="L53" s="30"/>
      <c r="M53" s="30"/>
      <c r="N53" s="30"/>
      <c r="O53" s="30"/>
      <c r="P53" s="159">
        <f>D53+H53-L53</f>
        <v>1200.28</v>
      </c>
      <c r="Q53" s="78"/>
      <c r="R53" s="30"/>
    </row>
    <row r="54" spans="1:21" x14ac:dyDescent="0.15">
      <c r="A54" s="32" t="s">
        <v>565</v>
      </c>
      <c r="B54" s="32" t="s">
        <v>564</v>
      </c>
      <c r="C54" s="32" t="s">
        <v>82</v>
      </c>
      <c r="D54" s="17">
        <v>2631.45</v>
      </c>
      <c r="E54" s="17"/>
      <c r="F54" s="30"/>
      <c r="G54" s="30"/>
      <c r="H54" s="30"/>
      <c r="I54" s="30"/>
      <c r="J54" s="17"/>
      <c r="K54" s="30"/>
      <c r="L54" s="30"/>
      <c r="M54" s="30"/>
      <c r="N54" s="30"/>
      <c r="O54" s="30"/>
      <c r="P54" s="159">
        <f>D54+H54-L54</f>
        <v>2631.45</v>
      </c>
      <c r="Q54" s="78"/>
      <c r="R54" s="30"/>
    </row>
    <row r="55" spans="1:21" x14ac:dyDescent="0.15">
      <c r="H55" s="30"/>
      <c r="P55" s="81"/>
      <c r="Q55" s="80"/>
    </row>
    <row r="56" spans="1:21" x14ac:dyDescent="0.15">
      <c r="A56" s="32" t="s">
        <v>565</v>
      </c>
      <c r="B56" s="32"/>
      <c r="C56" s="32" t="s">
        <v>134</v>
      </c>
      <c r="D56" s="17">
        <v>335.93000000000029</v>
      </c>
      <c r="E56" s="17"/>
      <c r="F56" s="30"/>
      <c r="G56" s="30"/>
      <c r="H56" s="30"/>
      <c r="I56" s="30"/>
      <c r="J56" s="17"/>
      <c r="K56" s="30"/>
      <c r="L56" s="30"/>
      <c r="M56" s="30"/>
      <c r="N56" s="30"/>
      <c r="O56" s="30"/>
      <c r="P56" s="159">
        <f>D56+H56-L56</f>
        <v>335.93000000000029</v>
      </c>
      <c r="Q56" s="78"/>
      <c r="R56" s="30"/>
    </row>
    <row r="57" spans="1:21" ht="12" thickBot="1" x14ac:dyDescent="0.2">
      <c r="A57" s="32" t="s">
        <v>567</v>
      </c>
      <c r="B57" s="32"/>
      <c r="C57" s="32" t="s">
        <v>132</v>
      </c>
      <c r="D57" s="41">
        <v>1342.15</v>
      </c>
      <c r="E57" s="41"/>
      <c r="F57" s="30"/>
      <c r="G57" s="30"/>
      <c r="H57" s="30"/>
      <c r="I57" s="30"/>
      <c r="J57" s="17"/>
      <c r="K57" s="30"/>
      <c r="L57" s="30"/>
      <c r="M57" s="30"/>
      <c r="N57" s="30"/>
      <c r="O57" s="30"/>
      <c r="P57" s="159">
        <f>D57+H57-L57</f>
        <v>1342.15</v>
      </c>
      <c r="Q57" s="78">
        <f>SUM(P42:P57)</f>
        <v>93461.43</v>
      </c>
      <c r="R57" s="30">
        <f>Q57</f>
        <v>93461.43</v>
      </c>
      <c r="U57" s="30">
        <f>SUM(R27:R57)</f>
        <v>167076.66999999998</v>
      </c>
    </row>
    <row r="58" spans="1:21" ht="12" thickBot="1" x14ac:dyDescent="0.2">
      <c r="E58" s="30">
        <f>SUM(D51:D57)</f>
        <v>17266.43</v>
      </c>
      <c r="F58" s="30"/>
      <c r="H58" s="30"/>
      <c r="P58" s="162"/>
      <c r="Q58" s="139"/>
    </row>
    <row r="59" spans="1:21" x14ac:dyDescent="0.15">
      <c r="A59" s="32"/>
      <c r="B59" s="32"/>
      <c r="C59" s="32"/>
      <c r="D59" s="17"/>
      <c r="E59" s="17"/>
      <c r="F59" s="30"/>
      <c r="G59" s="30"/>
      <c r="H59" s="30"/>
      <c r="I59" s="30"/>
      <c r="J59" s="17"/>
      <c r="K59" s="30"/>
      <c r="L59" s="30"/>
      <c r="M59" s="30"/>
      <c r="N59" s="30"/>
      <c r="O59" s="30"/>
      <c r="P59" s="33">
        <f>D59+F59-K59-M59</f>
        <v>0</v>
      </c>
      <c r="Q59" s="30"/>
      <c r="R59" s="30"/>
    </row>
    <row r="60" spans="1:21" x14ac:dyDescent="0.15">
      <c r="A60" s="32"/>
      <c r="B60" s="32"/>
      <c r="C60" s="32"/>
      <c r="D60" s="17"/>
      <c r="E60" s="17"/>
      <c r="F60" s="30">
        <f>SUM(D25:D57)</f>
        <v>142097.82999999999</v>
      </c>
      <c r="G60" s="30"/>
      <c r="H60" s="30"/>
      <c r="I60" s="30"/>
      <c r="J60" s="17"/>
      <c r="K60" s="30"/>
      <c r="L60" s="30"/>
      <c r="M60" s="30"/>
      <c r="N60" s="30"/>
      <c r="O60" s="30"/>
      <c r="P60" s="33"/>
      <c r="Q60" s="30"/>
      <c r="R60" s="30"/>
    </row>
    <row r="61" spans="1:21" x14ac:dyDescent="0.15">
      <c r="A61" s="32"/>
      <c r="B61" s="32"/>
      <c r="C61" s="32"/>
      <c r="D61" s="17"/>
      <c r="E61" s="17"/>
      <c r="F61" s="30"/>
      <c r="G61" s="30"/>
      <c r="H61" s="30"/>
      <c r="I61" s="30"/>
      <c r="J61" s="17"/>
      <c r="K61" s="30"/>
      <c r="L61" s="30"/>
      <c r="M61" s="30"/>
      <c r="N61" s="30"/>
      <c r="O61" s="30"/>
      <c r="P61" s="33"/>
      <c r="Q61" s="30"/>
      <c r="R61" s="30"/>
    </row>
    <row r="62" spans="1:21" x14ac:dyDescent="0.15">
      <c r="A62" s="32"/>
      <c r="B62" s="32"/>
      <c r="C62" s="32"/>
      <c r="D62" s="17"/>
      <c r="E62" s="17"/>
      <c r="F62" s="30"/>
      <c r="G62" s="30"/>
      <c r="H62" s="30"/>
      <c r="I62" s="30"/>
      <c r="J62" s="17"/>
      <c r="K62" s="30"/>
      <c r="L62" s="30"/>
      <c r="M62" s="30"/>
      <c r="N62" s="30"/>
      <c r="O62" s="30"/>
      <c r="P62" s="33"/>
      <c r="Q62" s="30"/>
      <c r="R62" s="30"/>
    </row>
    <row r="63" spans="1:21" x14ac:dyDescent="0.15">
      <c r="A63" s="32"/>
      <c r="B63" s="32"/>
      <c r="C63" s="42"/>
      <c r="D63" s="17"/>
      <c r="E63" s="17"/>
      <c r="F63" s="30"/>
      <c r="G63" s="30"/>
      <c r="H63" s="30"/>
      <c r="I63" s="30"/>
      <c r="J63" s="17"/>
      <c r="K63" s="30"/>
      <c r="L63" s="30"/>
      <c r="M63" s="30"/>
      <c r="N63" s="30"/>
      <c r="O63" s="30"/>
      <c r="P63" s="30"/>
      <c r="Q63" s="30"/>
      <c r="R63" s="30"/>
    </row>
    <row r="64" spans="1:21" ht="12" thickBot="1" x14ac:dyDescent="0.2">
      <c r="A64" s="32"/>
      <c r="B64" s="32"/>
      <c r="C64" s="17" t="s">
        <v>88</v>
      </c>
      <c r="D64" s="41">
        <v>20482.009999999998</v>
      </c>
      <c r="E64" s="41"/>
      <c r="F64" s="30"/>
      <c r="G64" s="30"/>
      <c r="H64" s="30"/>
      <c r="I64" s="30"/>
      <c r="J64" s="17"/>
      <c r="K64" s="30"/>
      <c r="L64" s="30"/>
      <c r="M64" s="30"/>
      <c r="N64" s="30"/>
      <c r="O64" s="30"/>
      <c r="P64" s="33">
        <f>D64+H64-L64</f>
        <v>20482.009999999998</v>
      </c>
      <c r="Q64" s="40">
        <f>P64</f>
        <v>20482.009999999998</v>
      </c>
      <c r="R64" s="40"/>
      <c r="S64" s="71"/>
    </row>
    <row r="65" spans="1:255" ht="12" thickBot="1" x14ac:dyDescent="0.2">
      <c r="A65" s="32"/>
      <c r="B65" s="32"/>
      <c r="C65" s="32"/>
      <c r="D65" s="17"/>
      <c r="E65" s="17">
        <f>D64</f>
        <v>20482.009999999998</v>
      </c>
      <c r="F65" s="40">
        <f>E65</f>
        <v>20482.009999999998</v>
      </c>
      <c r="G65" s="30"/>
      <c r="H65" s="30"/>
      <c r="I65" s="30"/>
      <c r="J65" s="17"/>
      <c r="K65" s="30"/>
      <c r="L65" s="30"/>
      <c r="M65" s="30"/>
      <c r="N65" s="30"/>
      <c r="O65" s="30"/>
      <c r="P65" s="30"/>
      <c r="Q65" s="30"/>
      <c r="R65" s="30"/>
      <c r="S65" s="30">
        <f>SUM(Q38:Q64)</f>
        <v>187558.68</v>
      </c>
    </row>
    <row r="66" spans="1:255" ht="12" thickBot="1" x14ac:dyDescent="0.2">
      <c r="A66" s="32"/>
      <c r="B66" s="32"/>
      <c r="C66" s="32"/>
      <c r="D66" s="17"/>
      <c r="E66" s="44"/>
      <c r="G66" s="30"/>
      <c r="H66" s="30"/>
      <c r="I66" s="30"/>
      <c r="J66" s="17"/>
      <c r="K66" s="30"/>
      <c r="L66" s="30"/>
      <c r="M66" s="30"/>
      <c r="N66" s="30"/>
      <c r="O66" s="30"/>
      <c r="P66" s="30"/>
      <c r="Q66" s="30"/>
      <c r="R66" s="30"/>
      <c r="S66" s="30"/>
    </row>
    <row r="67" spans="1:255" x14ac:dyDescent="0.15">
      <c r="A67" s="32"/>
      <c r="B67" s="32"/>
      <c r="C67" s="32"/>
      <c r="D67" s="17"/>
      <c r="E67" s="17"/>
      <c r="F67" s="30"/>
      <c r="G67" s="30"/>
      <c r="H67" s="30"/>
      <c r="I67" s="30"/>
      <c r="J67" s="17"/>
      <c r="K67" s="30"/>
      <c r="L67" s="30"/>
      <c r="M67" s="30"/>
      <c r="N67" s="30"/>
      <c r="O67" s="30"/>
      <c r="P67" s="30"/>
      <c r="Q67" s="30"/>
      <c r="R67" s="30"/>
      <c r="S67" s="30"/>
    </row>
    <row r="68" spans="1:255" x14ac:dyDescent="0.15">
      <c r="A68" s="32"/>
      <c r="B68" s="32"/>
      <c r="C68" s="32" t="s">
        <v>420</v>
      </c>
      <c r="D68" s="17">
        <v>65537.53</v>
      </c>
      <c r="E68" s="17"/>
      <c r="F68" s="30"/>
      <c r="G68" s="30"/>
      <c r="H68" s="30"/>
      <c r="I68" s="30"/>
      <c r="J68" s="17"/>
      <c r="K68" s="30"/>
      <c r="L68" s="30"/>
      <c r="M68" s="30"/>
      <c r="N68" s="30"/>
      <c r="O68" s="30"/>
      <c r="P68" s="33">
        <f>D68+H68-L68</f>
        <v>65537.53</v>
      </c>
      <c r="Q68" s="30"/>
      <c r="R68" s="30"/>
    </row>
    <row r="69" spans="1:255" ht="12" thickBot="1" x14ac:dyDescent="0.2">
      <c r="A69" s="32"/>
      <c r="B69" s="32"/>
      <c r="C69" s="32" t="s">
        <v>421</v>
      </c>
      <c r="D69" s="41">
        <v>505</v>
      </c>
      <c r="E69" s="41"/>
      <c r="F69" s="30"/>
      <c r="G69" s="30"/>
      <c r="H69" s="30"/>
      <c r="I69" s="30"/>
      <c r="J69" s="17"/>
      <c r="K69" s="30"/>
      <c r="L69" s="30"/>
      <c r="M69" s="30"/>
      <c r="N69" s="30"/>
      <c r="O69" s="30"/>
      <c r="P69" s="33">
        <f>D69+H69-L69</f>
        <v>505</v>
      </c>
      <c r="Q69" s="40"/>
      <c r="R69" s="30"/>
    </row>
    <row r="70" spans="1:255" ht="12" thickBot="1" x14ac:dyDescent="0.2">
      <c r="A70" s="32"/>
      <c r="B70" s="32"/>
      <c r="C70" s="32"/>
      <c r="D70" s="17"/>
      <c r="E70" s="17">
        <f>SUM(D68:D69)</f>
        <v>66042.53</v>
      </c>
      <c r="F70" s="30"/>
      <c r="G70" s="30"/>
      <c r="H70" s="30"/>
      <c r="I70" s="30"/>
      <c r="J70" s="17"/>
      <c r="K70" s="30"/>
      <c r="L70" s="30"/>
      <c r="M70" s="30"/>
      <c r="N70" s="30"/>
      <c r="O70" s="30"/>
      <c r="P70" s="30"/>
      <c r="Q70" s="36">
        <f>SUM(P68:P69)</f>
        <v>66042.53</v>
      </c>
      <c r="R70" s="30"/>
    </row>
    <row r="71" spans="1:255" x14ac:dyDescent="0.15">
      <c r="A71" s="32"/>
      <c r="B71" s="32"/>
      <c r="C71" s="32"/>
      <c r="D71" s="17"/>
      <c r="E71" s="17"/>
      <c r="F71" s="30"/>
      <c r="G71" s="30"/>
      <c r="H71" s="30"/>
      <c r="I71" s="30"/>
      <c r="J71" s="17"/>
      <c r="K71" s="30"/>
      <c r="L71" s="30"/>
      <c r="M71" s="30"/>
      <c r="N71" s="30"/>
      <c r="O71" s="30"/>
      <c r="P71" s="30"/>
      <c r="Q71" s="30"/>
      <c r="R71" s="30"/>
      <c r="S71" s="30"/>
    </row>
    <row r="72" spans="1:255" x14ac:dyDescent="0.15">
      <c r="A72" s="32"/>
      <c r="B72" s="32"/>
      <c r="C72" s="32"/>
      <c r="D72" s="17"/>
      <c r="E72" s="17"/>
      <c r="F72" s="30"/>
      <c r="G72" s="30"/>
      <c r="H72" s="30"/>
      <c r="I72" s="30"/>
      <c r="J72" s="17"/>
      <c r="K72" s="30"/>
      <c r="L72" s="30"/>
      <c r="M72" s="30"/>
      <c r="N72" s="30"/>
      <c r="O72" s="30"/>
      <c r="P72" s="30"/>
      <c r="Q72" s="30"/>
      <c r="R72" s="30"/>
    </row>
    <row r="73" spans="1:255" x14ac:dyDescent="0.15">
      <c r="A73" s="32"/>
      <c r="B73" s="32"/>
      <c r="C73" s="32" t="s">
        <v>625</v>
      </c>
      <c r="D73" s="17"/>
      <c r="E73" s="17"/>
      <c r="F73" s="30"/>
      <c r="G73" s="30"/>
      <c r="H73" s="30"/>
      <c r="I73" s="30"/>
      <c r="J73" s="17"/>
      <c r="K73" s="30"/>
      <c r="L73" s="30"/>
      <c r="M73" s="30"/>
      <c r="N73" s="30"/>
      <c r="O73" s="30"/>
      <c r="P73" s="30"/>
      <c r="Q73" s="30"/>
      <c r="R73" s="30"/>
    </row>
    <row r="74" spans="1:255" x14ac:dyDescent="0.15">
      <c r="A74" s="39"/>
      <c r="B74" s="39"/>
      <c r="C74" s="32"/>
      <c r="D74" s="17"/>
      <c r="E74" s="17"/>
      <c r="F74" s="30"/>
      <c r="G74" s="30"/>
      <c r="H74" s="30"/>
      <c r="I74" s="30"/>
      <c r="J74" s="17"/>
      <c r="K74" s="30"/>
      <c r="L74" s="30"/>
      <c r="M74" s="30"/>
      <c r="N74" s="30"/>
      <c r="O74" s="30"/>
      <c r="P74" s="30"/>
      <c r="Q74" s="30"/>
      <c r="R74" s="30"/>
    </row>
    <row r="75" spans="1:255" x14ac:dyDescent="0.15">
      <c r="A75" s="45"/>
      <c r="B75" s="45"/>
      <c r="C75" s="46" t="s">
        <v>91</v>
      </c>
      <c r="D75" s="47"/>
      <c r="E75" s="47"/>
      <c r="F75" s="31"/>
      <c r="G75" s="31"/>
      <c r="H75" s="31"/>
      <c r="I75" s="31"/>
      <c r="J75" s="47"/>
      <c r="K75" s="31"/>
      <c r="L75" s="31"/>
      <c r="M75" s="31"/>
      <c r="N75" s="31"/>
      <c r="O75" s="31"/>
      <c r="P75" s="31"/>
      <c r="Q75" s="31"/>
      <c r="R75" s="31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</row>
    <row r="76" spans="1:255" x14ac:dyDescent="0.15">
      <c r="A76" s="32"/>
      <c r="B76" s="38"/>
      <c r="C76" s="32" t="s">
        <v>92</v>
      </c>
      <c r="D76" s="17">
        <v>52957.62</v>
      </c>
      <c r="E76" s="17"/>
      <c r="F76" s="30"/>
      <c r="G76" s="30"/>
      <c r="H76" s="30"/>
      <c r="I76" s="30"/>
      <c r="J76" s="17"/>
      <c r="K76" s="30"/>
      <c r="L76" s="30"/>
      <c r="M76" s="30"/>
      <c r="N76" s="30"/>
      <c r="O76" s="30"/>
      <c r="P76" s="30">
        <f>SUM(D76:N76)</f>
        <v>52957.62</v>
      </c>
      <c r="Q76" s="30"/>
      <c r="R76" s="30"/>
    </row>
    <row r="77" spans="1:255" x14ac:dyDescent="0.15">
      <c r="A77" s="32"/>
      <c r="B77" s="38" t="s">
        <v>93</v>
      </c>
      <c r="C77" s="32" t="s">
        <v>94</v>
      </c>
      <c r="D77" s="17">
        <v>26800</v>
      </c>
      <c r="E77" s="17">
        <f>SUM(D76:D77)</f>
        <v>79757.62</v>
      </c>
      <c r="F77" s="30"/>
      <c r="G77" s="30"/>
      <c r="H77" s="30"/>
      <c r="I77" s="30"/>
      <c r="J77" s="17"/>
      <c r="K77" s="30"/>
      <c r="L77" s="30"/>
      <c r="M77" s="30"/>
      <c r="O77" s="30"/>
      <c r="P77" s="30">
        <f>D77+H77</f>
        <v>26800</v>
      </c>
      <c r="Q77" s="30">
        <f>SUM(P76:P77)</f>
        <v>79757.62</v>
      </c>
      <c r="R77" s="30"/>
    </row>
    <row r="78" spans="1:255" ht="12" thickBot="1" x14ac:dyDescent="0.2">
      <c r="A78" s="32"/>
      <c r="B78" s="32"/>
      <c r="C78" s="32"/>
      <c r="D78" s="17"/>
      <c r="E78" s="17"/>
      <c r="F78" s="30"/>
      <c r="G78" s="30"/>
      <c r="H78" s="30"/>
      <c r="I78" s="30"/>
      <c r="J78" s="17"/>
      <c r="K78" s="30"/>
      <c r="L78" s="30"/>
      <c r="M78" s="30"/>
      <c r="N78" s="30"/>
      <c r="O78" s="30"/>
      <c r="P78" s="30"/>
      <c r="Q78" s="30"/>
      <c r="R78" s="30"/>
    </row>
    <row r="79" spans="1:255" ht="12" thickBot="1" x14ac:dyDescent="0.2">
      <c r="A79" s="32"/>
      <c r="B79" s="32" t="s">
        <v>95</v>
      </c>
      <c r="C79" s="32"/>
      <c r="D79" s="48">
        <f>SUM(D6:D77)</f>
        <v>346763.72000000003</v>
      </c>
      <c r="E79" s="48">
        <f>SUM(E22:E77)</f>
        <v>311328.07</v>
      </c>
      <c r="F79" s="30">
        <f>SUM(F58:F65)</f>
        <v>162579.84</v>
      </c>
      <c r="G79" s="63"/>
      <c r="H79" s="48">
        <f>SUM(H11:H78)</f>
        <v>26494.42</v>
      </c>
      <c r="I79" s="48"/>
      <c r="J79" s="48"/>
      <c r="K79" s="63">
        <f>SUM(K18:K78)</f>
        <v>0</v>
      </c>
      <c r="L79" s="63">
        <f>SUM(L14:L75)</f>
        <v>1515.58</v>
      </c>
      <c r="M79" s="48"/>
      <c r="N79" s="48">
        <f>SUM(N5:N78)</f>
        <v>0</v>
      </c>
      <c r="O79" s="48"/>
      <c r="P79" s="48">
        <f>SUM(P6:P77)</f>
        <v>359905.2</v>
      </c>
      <c r="Q79" s="48"/>
      <c r="R79" s="17"/>
    </row>
    <row r="80" spans="1:255" x14ac:dyDescent="0.15">
      <c r="A80" s="43"/>
      <c r="B80" s="43"/>
      <c r="C80" s="43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1:18" x14ac:dyDescent="0.15">
      <c r="A81" s="43"/>
      <c r="B81" s="43"/>
      <c r="C81" s="43"/>
      <c r="D81" s="30"/>
      <c r="E81" s="30"/>
      <c r="F81" s="30"/>
      <c r="G81" s="30"/>
      <c r="H81" s="30">
        <f>SUM(H79)</f>
        <v>26494.42</v>
      </c>
      <c r="I81" s="30"/>
      <c r="J81" s="30"/>
      <c r="K81" s="30"/>
      <c r="L81" s="62">
        <f>SUM(K79:L79)</f>
        <v>1515.58</v>
      </c>
      <c r="N81" s="30"/>
      <c r="O81" s="30"/>
      <c r="P81" s="30"/>
      <c r="Q81" s="30"/>
      <c r="R81" s="30"/>
    </row>
    <row r="82" spans="1:18" x14ac:dyDescent="0.15">
      <c r="A82" s="43"/>
      <c r="B82" s="43"/>
      <c r="C82" s="43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 ht="0.5" customHeight="1" x14ac:dyDescent="0.15"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 x14ac:dyDescent="0.15">
      <c r="C84" s="39"/>
      <c r="H84" s="30"/>
      <c r="K84" s="30"/>
      <c r="L84" s="30">
        <v>0</v>
      </c>
      <c r="M84" s="30"/>
    </row>
    <row r="85" spans="1:18" x14ac:dyDescent="0.15">
      <c r="C85" s="39"/>
      <c r="E85" s="30"/>
      <c r="F85" s="30"/>
      <c r="H85" s="30"/>
    </row>
    <row r="86" spans="1:18" x14ac:dyDescent="0.15">
      <c r="C86" s="39"/>
      <c r="E86" s="77"/>
      <c r="F86" s="70"/>
      <c r="G86" s="70"/>
      <c r="H86" s="77"/>
      <c r="I86" s="43"/>
      <c r="J86" s="43"/>
      <c r="K86" s="43"/>
      <c r="L86" s="70"/>
      <c r="M86" s="43"/>
      <c r="N86" s="43"/>
      <c r="O86" s="43"/>
      <c r="P86" s="43"/>
    </row>
    <row r="87" spans="1:18" x14ac:dyDescent="0.15">
      <c r="C87" s="39"/>
      <c r="E87" s="30"/>
      <c r="F87" s="30"/>
      <c r="H87" s="30"/>
    </row>
    <row r="88" spans="1:18" x14ac:dyDescent="0.15">
      <c r="C88" s="39"/>
      <c r="E88" s="30"/>
      <c r="F88" s="30"/>
      <c r="H88" s="30"/>
    </row>
    <row r="89" spans="1:18" x14ac:dyDescent="0.15">
      <c r="C89" s="39"/>
      <c r="E89" s="30"/>
      <c r="F89" s="30"/>
      <c r="H89" s="30"/>
    </row>
    <row r="90" spans="1:18" x14ac:dyDescent="0.15">
      <c r="C90" s="39"/>
      <c r="E90" s="30"/>
      <c r="F90" s="30"/>
      <c r="H90" s="30"/>
    </row>
    <row r="91" spans="1:18" x14ac:dyDescent="0.15">
      <c r="C91" s="39"/>
      <c r="E91" s="30"/>
      <c r="F91" s="30"/>
      <c r="H91" s="30"/>
    </row>
    <row r="92" spans="1:18" x14ac:dyDescent="0.15">
      <c r="C92" s="39"/>
      <c r="E92" s="30"/>
      <c r="F92" s="30"/>
      <c r="H92" s="30"/>
    </row>
    <row r="93" spans="1:18" x14ac:dyDescent="0.15">
      <c r="C93" s="39"/>
      <c r="E93" s="30"/>
      <c r="F93" s="30"/>
      <c r="H93" s="30"/>
    </row>
    <row r="94" spans="1:18" x14ac:dyDescent="0.15">
      <c r="C94" s="39"/>
      <c r="E94" s="30"/>
      <c r="F94" s="30"/>
      <c r="H94" s="30"/>
    </row>
    <row r="95" spans="1:18" x14ac:dyDescent="0.15">
      <c r="C95" s="39"/>
      <c r="E95" s="30"/>
      <c r="F95" s="30"/>
      <c r="H95" s="30"/>
    </row>
    <row r="96" spans="1:18" x14ac:dyDescent="0.15">
      <c r="C96" s="39"/>
      <c r="E96" s="30"/>
      <c r="F96" s="30"/>
      <c r="H96" s="30"/>
    </row>
    <row r="97" spans="3:8" x14ac:dyDescent="0.15">
      <c r="C97" s="39"/>
      <c r="E97" s="30"/>
      <c r="F97" s="30"/>
      <c r="H97" s="30"/>
    </row>
    <row r="98" spans="3:8" x14ac:dyDescent="0.15">
      <c r="C98" s="39"/>
      <c r="E98" s="30"/>
      <c r="F98" s="30"/>
      <c r="H98" s="30"/>
    </row>
    <row r="99" spans="3:8" x14ac:dyDescent="0.15">
      <c r="C99" s="39"/>
      <c r="E99" s="30"/>
      <c r="F99" s="30"/>
      <c r="H99" s="30"/>
    </row>
    <row r="100" spans="3:8" x14ac:dyDescent="0.15">
      <c r="C100" s="39"/>
      <c r="E100" s="30"/>
      <c r="F100" s="30"/>
      <c r="H100" s="30"/>
    </row>
    <row r="101" spans="3:8" x14ac:dyDescent="0.15">
      <c r="C101" s="39"/>
      <c r="E101" s="30"/>
      <c r="F101" s="30"/>
      <c r="H101" s="30"/>
    </row>
    <row r="102" spans="3:8" x14ac:dyDescent="0.15">
      <c r="C102" s="39"/>
      <c r="E102" s="30"/>
      <c r="F102" s="30"/>
      <c r="H102" s="30"/>
    </row>
    <row r="103" spans="3:8" x14ac:dyDescent="0.15">
      <c r="C103" s="39"/>
      <c r="E103" s="30"/>
      <c r="F103" s="30"/>
      <c r="H103" s="30"/>
    </row>
    <row r="104" spans="3:8" x14ac:dyDescent="0.15">
      <c r="C104" s="39"/>
      <c r="E104" s="30"/>
      <c r="F104" s="30"/>
      <c r="H104" s="30"/>
    </row>
    <row r="105" spans="3:8" x14ac:dyDescent="0.15">
      <c r="C105" s="39"/>
      <c r="E105" s="30"/>
      <c r="F105" s="30"/>
      <c r="H105" s="30"/>
    </row>
    <row r="106" spans="3:8" x14ac:dyDescent="0.15">
      <c r="C106" s="39"/>
      <c r="E106" s="30"/>
      <c r="F106" s="30"/>
      <c r="H106" s="30"/>
    </row>
    <row r="107" spans="3:8" x14ac:dyDescent="0.15">
      <c r="C107" s="39"/>
      <c r="E107" s="30"/>
      <c r="F107" s="30"/>
    </row>
    <row r="108" spans="3:8" ht="30.5" customHeight="1" x14ac:dyDescent="0.15">
      <c r="C108" s="39"/>
      <c r="E108" s="30"/>
      <c r="F108" s="30"/>
    </row>
    <row r="109" spans="3:8" x14ac:dyDescent="0.15">
      <c r="C109" s="17"/>
      <c r="D109" s="30"/>
      <c r="E109" s="30"/>
      <c r="F109" s="30"/>
    </row>
    <row r="110" spans="3:8" x14ac:dyDescent="0.15">
      <c r="C110" s="17"/>
      <c r="D110" s="30"/>
      <c r="E110" s="30"/>
      <c r="F110" s="30"/>
    </row>
    <row r="111" spans="3:8" x14ac:dyDescent="0.15">
      <c r="C111" s="17"/>
      <c r="D111" s="30"/>
      <c r="E111" s="30"/>
      <c r="F111" s="30"/>
    </row>
    <row r="112" spans="3:8" x14ac:dyDescent="0.15">
      <c r="C112" s="17"/>
      <c r="D112" s="30"/>
      <c r="E112" s="30"/>
      <c r="F112" s="30"/>
    </row>
  </sheetData>
  <mergeCells count="2">
    <mergeCell ref="F2:H2"/>
    <mergeCell ref="K2:N2"/>
  </mergeCells>
  <pageMargins left="0.7" right="0.7" top="0.75" bottom="0.75" header="0.3" footer="0.3"/>
  <pageSetup scale="9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5E61-27D6-4F68-9CEB-ACEE22F4E4D8}">
  <dimension ref="A1:IU112"/>
  <sheetViews>
    <sheetView zoomScaleNormal="100" workbookViewId="0">
      <pane ySplit="3" topLeftCell="A4" activePane="bottomLeft" state="frozen"/>
      <selection pane="bottomLeft" activeCell="C1" sqref="C1"/>
    </sheetView>
  </sheetViews>
  <sheetFormatPr baseColWidth="10" defaultColWidth="11.83203125" defaultRowHeight="11" x14ac:dyDescent="0.15"/>
  <cols>
    <col min="1" max="1" width="11.83203125" style="50" customWidth="1"/>
    <col min="2" max="2" width="11.1640625" style="50" customWidth="1"/>
    <col min="3" max="3" width="32.33203125" style="50" customWidth="1"/>
    <col min="4" max="6" width="11.83203125" style="39" customWidth="1"/>
    <col min="7" max="8" width="9.6640625" style="39" customWidth="1"/>
    <col min="9" max="9" width="11.83203125" style="39" customWidth="1"/>
    <col min="10" max="10" width="2.6640625" style="39" customWidth="1"/>
    <col min="11" max="11" width="10" style="39" customWidth="1"/>
    <col min="12" max="12" width="9.6640625" style="39" customWidth="1"/>
    <col min="13" max="13" width="8.5" style="39" customWidth="1"/>
    <col min="14" max="14" width="11.83203125" style="39" customWidth="1"/>
    <col min="15" max="15" width="4.6640625" style="39" customWidth="1"/>
    <col min="16" max="16" width="17.6640625" style="39" customWidth="1"/>
    <col min="17" max="18" width="14.5" style="39" customWidth="1"/>
    <col min="19" max="16384" width="11.83203125" style="39"/>
  </cols>
  <sheetData>
    <row r="1" spans="1:255" x14ac:dyDescent="0.15">
      <c r="C1" s="51" t="s">
        <v>65</v>
      </c>
    </row>
    <row r="2" spans="1:255" x14ac:dyDescent="0.15">
      <c r="A2" s="43"/>
      <c r="B2" s="43"/>
      <c r="C2" s="51" t="s">
        <v>66</v>
      </c>
      <c r="D2" s="52" t="s">
        <v>11</v>
      </c>
      <c r="E2" s="43"/>
      <c r="F2" s="326"/>
      <c r="G2" s="327"/>
      <c r="H2" s="327"/>
      <c r="I2" s="53"/>
      <c r="J2" s="43"/>
      <c r="K2" s="326" t="s">
        <v>67</v>
      </c>
      <c r="L2" s="327"/>
      <c r="M2" s="328"/>
      <c r="N2" s="329"/>
      <c r="O2" s="53"/>
      <c r="P2" s="52" t="s">
        <v>11</v>
      </c>
      <c r="Q2" s="53"/>
      <c r="R2" s="53"/>
    </row>
    <row r="3" spans="1:255" ht="36" x14ac:dyDescent="0.15">
      <c r="A3" s="54" t="s">
        <v>68</v>
      </c>
      <c r="B3" s="54" t="s">
        <v>69</v>
      </c>
      <c r="C3" s="55">
        <v>2024</v>
      </c>
      <c r="D3" s="84" t="s">
        <v>698</v>
      </c>
      <c r="E3" s="56"/>
      <c r="H3" s="37" t="s">
        <v>524</v>
      </c>
      <c r="I3" s="37" t="s">
        <v>525</v>
      </c>
      <c r="J3" s="56"/>
      <c r="K3" s="37"/>
      <c r="L3" s="69" t="s">
        <v>526</v>
      </c>
      <c r="M3" s="57"/>
      <c r="N3" s="58" t="s">
        <v>70</v>
      </c>
      <c r="O3" s="59"/>
      <c r="P3" s="60" t="s">
        <v>750</v>
      </c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</row>
    <row r="4" spans="1:255" x14ac:dyDescent="0.15">
      <c r="A4" s="39"/>
      <c r="B4" s="39"/>
      <c r="C4" s="32"/>
      <c r="D4" s="17"/>
      <c r="E4" s="17"/>
      <c r="F4" s="30"/>
      <c r="G4" s="30"/>
      <c r="H4" s="30"/>
      <c r="I4" s="30"/>
      <c r="J4" s="17"/>
      <c r="K4" s="30"/>
      <c r="L4" s="30"/>
      <c r="M4" s="30"/>
      <c r="N4" s="30"/>
      <c r="O4" s="30"/>
      <c r="P4" s="30"/>
      <c r="Q4" s="30"/>
      <c r="R4" s="30"/>
    </row>
    <row r="5" spans="1:255" x14ac:dyDescent="0.15">
      <c r="A5" s="45"/>
      <c r="B5" s="45"/>
      <c r="C5" s="46" t="s">
        <v>71</v>
      </c>
      <c r="D5" s="47"/>
      <c r="E5" s="47"/>
      <c r="F5" s="31"/>
      <c r="G5" s="31"/>
      <c r="H5" s="31"/>
      <c r="I5" s="31"/>
      <c r="J5" s="47"/>
      <c r="K5" s="31"/>
      <c r="L5" s="31"/>
      <c r="M5" s="31"/>
      <c r="N5" s="31"/>
      <c r="O5" s="31"/>
      <c r="P5" s="31"/>
      <c r="Q5" s="31"/>
      <c r="R5" s="31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</row>
    <row r="6" spans="1:255" x14ac:dyDescent="0.15">
      <c r="A6" s="32"/>
      <c r="B6" s="32"/>
      <c r="C6" s="32"/>
      <c r="D6" s="17"/>
      <c r="E6" s="17"/>
      <c r="F6" s="30"/>
      <c r="G6" s="30"/>
      <c r="H6" s="30"/>
      <c r="I6" s="30"/>
      <c r="J6" s="17"/>
      <c r="K6" s="30"/>
      <c r="L6" s="30"/>
      <c r="M6" s="30"/>
      <c r="N6" s="30"/>
      <c r="O6" s="30"/>
      <c r="P6" s="30"/>
      <c r="Q6" s="30"/>
      <c r="R6" s="30"/>
    </row>
    <row r="7" spans="1:255" x14ac:dyDescent="0.15">
      <c r="A7" s="32"/>
      <c r="B7" s="32"/>
      <c r="C7" s="32"/>
      <c r="D7" s="17"/>
      <c r="E7" s="17"/>
      <c r="F7" s="30"/>
      <c r="G7" s="30"/>
      <c r="H7" s="30"/>
      <c r="I7" s="30"/>
      <c r="J7" s="17"/>
      <c r="K7" s="30"/>
      <c r="M7" s="30"/>
      <c r="N7" s="30"/>
      <c r="O7" s="30"/>
      <c r="P7" s="33"/>
      <c r="Q7" s="30"/>
      <c r="R7" s="30"/>
    </row>
    <row r="8" spans="1:255" x14ac:dyDescent="0.15">
      <c r="B8" s="32" t="s">
        <v>475</v>
      </c>
      <c r="C8" s="32" t="s">
        <v>417</v>
      </c>
      <c r="D8" s="17">
        <v>11760.93</v>
      </c>
      <c r="E8" s="17">
        <f>D8</f>
        <v>11760.93</v>
      </c>
      <c r="F8" s="30"/>
      <c r="G8" s="30"/>
      <c r="H8" s="30"/>
      <c r="I8" s="30"/>
      <c r="J8" s="17"/>
      <c r="K8" s="30"/>
      <c r="L8" s="30"/>
      <c r="M8" s="30"/>
      <c r="N8" s="30"/>
      <c r="O8" s="30"/>
      <c r="P8" s="33">
        <f>D8+H8-L8</f>
        <v>11760.93</v>
      </c>
      <c r="Q8" s="30" t="s">
        <v>639</v>
      </c>
      <c r="R8" s="30"/>
    </row>
    <row r="9" spans="1:255" x14ac:dyDescent="0.15">
      <c r="B9" s="32"/>
      <c r="C9" s="32"/>
      <c r="D9" s="17"/>
      <c r="E9" s="17"/>
      <c r="F9" s="30"/>
      <c r="G9" s="30"/>
      <c r="H9" s="30"/>
      <c r="I9" s="30"/>
      <c r="J9" s="17"/>
      <c r="K9" s="30"/>
      <c r="L9" s="30"/>
      <c r="M9" s="30"/>
      <c r="N9" s="30"/>
      <c r="O9" s="30"/>
      <c r="P9" s="33"/>
      <c r="Q9" s="30"/>
      <c r="R9" s="30"/>
    </row>
    <row r="10" spans="1:255" x14ac:dyDescent="0.15">
      <c r="A10" s="32" t="s">
        <v>610</v>
      </c>
      <c r="B10" s="32" t="s">
        <v>476</v>
      </c>
      <c r="C10" s="32" t="s">
        <v>428</v>
      </c>
      <c r="D10" s="17">
        <v>0</v>
      </c>
      <c r="E10" s="17"/>
      <c r="F10" s="30"/>
      <c r="G10" s="30"/>
      <c r="H10" s="30"/>
      <c r="I10" s="30"/>
      <c r="J10" s="17"/>
      <c r="K10" s="30"/>
      <c r="L10" s="30"/>
      <c r="M10" s="30"/>
      <c r="N10" s="30"/>
      <c r="O10" s="30"/>
      <c r="P10" s="33"/>
      <c r="Q10" s="30"/>
      <c r="R10" s="30"/>
    </row>
    <row r="11" spans="1:255" x14ac:dyDescent="0.15">
      <c r="A11" s="32" t="s">
        <v>610</v>
      </c>
      <c r="B11" s="38"/>
      <c r="C11" s="32" t="s">
        <v>611</v>
      </c>
      <c r="D11" s="17">
        <v>5755</v>
      </c>
      <c r="E11" s="17"/>
      <c r="F11" s="30"/>
      <c r="G11" s="30"/>
      <c r="H11" s="30"/>
      <c r="I11" s="30"/>
      <c r="J11" s="17"/>
      <c r="K11" s="30"/>
      <c r="M11" s="30"/>
      <c r="N11" s="30"/>
      <c r="O11" s="30"/>
      <c r="P11" s="33"/>
      <c r="Q11" s="30"/>
      <c r="R11" s="30"/>
    </row>
    <row r="12" spans="1:255" x14ac:dyDescent="0.15">
      <c r="A12" s="32"/>
      <c r="B12" s="38"/>
      <c r="C12" s="32" t="s">
        <v>428</v>
      </c>
      <c r="D12" s="17">
        <v>6082.36</v>
      </c>
      <c r="E12" s="17"/>
      <c r="F12" s="30"/>
      <c r="G12" s="30"/>
      <c r="H12" s="30"/>
      <c r="I12" s="30"/>
      <c r="J12" s="17"/>
      <c r="K12" s="30"/>
      <c r="M12" s="30"/>
      <c r="N12" s="30"/>
      <c r="O12" s="30"/>
      <c r="P12" s="33"/>
      <c r="Q12" s="30"/>
      <c r="R12" s="30"/>
    </row>
    <row r="13" spans="1:255" x14ac:dyDescent="0.15">
      <c r="A13" s="32" t="s">
        <v>600</v>
      </c>
      <c r="B13" s="38"/>
      <c r="C13" s="146" t="s">
        <v>601</v>
      </c>
      <c r="D13" s="147"/>
      <c r="E13" s="147"/>
      <c r="F13" s="40"/>
      <c r="G13" s="40"/>
      <c r="H13" s="40"/>
      <c r="I13" s="148"/>
      <c r="J13" s="147"/>
      <c r="K13" s="40"/>
      <c r="L13" s="40"/>
      <c r="M13" s="40"/>
      <c r="N13" s="40"/>
      <c r="O13" s="40"/>
      <c r="P13" s="149"/>
      <c r="Q13" s="30"/>
      <c r="R13" s="30"/>
    </row>
    <row r="14" spans="1:255" x14ac:dyDescent="0.15">
      <c r="A14" s="32"/>
      <c r="B14" s="32"/>
      <c r="C14" s="32" t="s">
        <v>618</v>
      </c>
      <c r="D14" s="135">
        <f>SUM(D10:D12)</f>
        <v>11837.36</v>
      </c>
      <c r="E14" s="17">
        <f>D14</f>
        <v>11837.36</v>
      </c>
      <c r="F14" s="30"/>
      <c r="G14" s="30"/>
      <c r="H14" s="30"/>
      <c r="I14" s="30">
        <f>SUM(H11:H13)</f>
        <v>0</v>
      </c>
      <c r="J14" s="17"/>
      <c r="K14" s="30"/>
      <c r="L14" s="30">
        <f>SUM(L10:L13)</f>
        <v>0</v>
      </c>
      <c r="M14" s="30">
        <f>SUM(L13)</f>
        <v>0</v>
      </c>
      <c r="N14" s="30"/>
      <c r="O14" s="30"/>
      <c r="P14" s="33">
        <f>SUM(E14)</f>
        <v>11837.36</v>
      </c>
      <c r="Q14" s="30"/>
      <c r="R14" s="30"/>
    </row>
    <row r="15" spans="1:255" x14ac:dyDescent="0.15">
      <c r="A15" s="32"/>
      <c r="B15" s="32"/>
      <c r="C15" s="32"/>
      <c r="D15" s="17"/>
      <c r="E15" s="17"/>
      <c r="F15" s="30"/>
      <c r="G15" s="30"/>
      <c r="H15" s="30"/>
      <c r="I15" s="30"/>
      <c r="J15" s="17"/>
      <c r="K15" s="30"/>
      <c r="L15" s="30"/>
      <c r="M15" s="30"/>
      <c r="N15" s="30"/>
      <c r="O15" s="30"/>
      <c r="P15" s="33"/>
      <c r="Q15" s="30"/>
      <c r="R15" s="30"/>
    </row>
    <row r="16" spans="1:255" x14ac:dyDescent="0.15">
      <c r="A16" s="32"/>
      <c r="B16" s="32"/>
      <c r="C16" s="32"/>
      <c r="D16" s="17"/>
      <c r="E16" s="17"/>
      <c r="F16" s="30"/>
      <c r="G16" s="30"/>
      <c r="H16" s="30"/>
      <c r="I16" s="30"/>
      <c r="J16" s="17"/>
      <c r="K16" s="30"/>
      <c r="L16" s="30"/>
      <c r="M16" s="30"/>
      <c r="N16" s="30"/>
      <c r="O16" s="30"/>
      <c r="P16" s="33"/>
      <c r="Q16" s="30"/>
      <c r="R16" s="30"/>
    </row>
    <row r="18" spans="1:255" x14ac:dyDescent="0.15">
      <c r="A18" s="32"/>
      <c r="B18" s="32"/>
      <c r="C18" s="32"/>
      <c r="D18" s="17"/>
      <c r="E18" s="17"/>
      <c r="F18" s="30"/>
      <c r="G18" s="30"/>
      <c r="H18" s="30"/>
      <c r="I18" s="30"/>
      <c r="J18" s="17"/>
      <c r="K18" s="30"/>
      <c r="L18" s="30"/>
      <c r="M18" s="30"/>
      <c r="N18" s="30"/>
      <c r="O18" s="30"/>
      <c r="P18" s="33"/>
      <c r="Q18" s="30"/>
      <c r="R18" s="30"/>
    </row>
    <row r="19" spans="1:255" x14ac:dyDescent="0.15">
      <c r="M19" s="30"/>
    </row>
    <row r="20" spans="1:255" x14ac:dyDescent="0.15">
      <c r="A20" s="32"/>
      <c r="B20" s="32"/>
      <c r="C20" s="32" t="s">
        <v>541</v>
      </c>
      <c r="D20" s="17">
        <v>2000</v>
      </c>
      <c r="E20" s="17"/>
      <c r="F20" s="30"/>
      <c r="G20" s="30"/>
      <c r="H20" s="30"/>
      <c r="I20" s="30"/>
      <c r="J20" s="17"/>
      <c r="K20" s="30"/>
      <c r="L20" s="30"/>
      <c r="M20" s="30"/>
      <c r="N20" s="30"/>
      <c r="O20" s="30"/>
      <c r="P20" s="33">
        <f>D20+H20-L20</f>
        <v>2000</v>
      </c>
      <c r="Q20" s="30"/>
      <c r="R20" s="30" t="s">
        <v>639</v>
      </c>
    </row>
    <row r="21" spans="1:255" ht="12" thickBot="1" x14ac:dyDescent="0.2">
      <c r="A21" s="32" t="s">
        <v>89</v>
      </c>
      <c r="B21" s="50" t="s">
        <v>90</v>
      </c>
      <c r="C21" s="35" t="s">
        <v>72</v>
      </c>
      <c r="D21" s="41">
        <v>948.08</v>
      </c>
      <c r="E21" s="41"/>
      <c r="F21" s="36"/>
      <c r="G21" s="36"/>
      <c r="H21" s="36"/>
      <c r="I21" s="36"/>
      <c r="J21" s="41"/>
      <c r="K21" s="36"/>
      <c r="L21" s="36"/>
      <c r="M21" s="36"/>
      <c r="N21" s="36"/>
      <c r="O21" s="36"/>
      <c r="P21" s="75">
        <f>D21+I21-L21</f>
        <v>948.08</v>
      </c>
      <c r="Q21" s="36"/>
      <c r="R21" s="30" t="s">
        <v>639</v>
      </c>
    </row>
    <row r="22" spans="1:255" x14ac:dyDescent="0.15">
      <c r="A22" s="39"/>
      <c r="B22" s="39"/>
      <c r="C22" s="42" t="s">
        <v>419</v>
      </c>
      <c r="D22" s="17"/>
      <c r="E22" s="17">
        <f>SUM(D20:D21)</f>
        <v>2948.08</v>
      </c>
      <c r="F22" s="30">
        <f>SUM(E6:E22)</f>
        <v>26546.370000000003</v>
      </c>
      <c r="G22" s="30"/>
      <c r="H22" s="30"/>
      <c r="I22" s="30"/>
      <c r="J22" s="17"/>
      <c r="K22" s="30"/>
      <c r="L22" s="30"/>
      <c r="M22" s="37"/>
      <c r="N22" s="30"/>
      <c r="O22" s="30"/>
      <c r="P22" s="30"/>
      <c r="Q22" s="30">
        <f>SUM(P8:P21)</f>
        <v>26546.370000000003</v>
      </c>
      <c r="R22" s="30"/>
      <c r="S22" s="65"/>
      <c r="T22" s="61"/>
    </row>
    <row r="23" spans="1:255" ht="12" thickBot="1" x14ac:dyDescent="0.2">
      <c r="A23" s="39"/>
      <c r="B23" s="39"/>
      <c r="C23" s="32"/>
      <c r="D23" s="17"/>
      <c r="E23" s="17"/>
      <c r="F23" s="30"/>
      <c r="G23" s="30"/>
      <c r="H23" s="30"/>
      <c r="I23" s="30"/>
      <c r="J23" s="17"/>
      <c r="K23" s="30"/>
      <c r="L23" s="30"/>
      <c r="M23" s="30"/>
      <c r="N23" s="30"/>
      <c r="O23" s="30"/>
      <c r="P23" s="30"/>
      <c r="Q23" s="30"/>
      <c r="R23" s="30"/>
    </row>
    <row r="24" spans="1:255" ht="12" thickBot="1" x14ac:dyDescent="0.2">
      <c r="A24" s="45"/>
      <c r="B24" s="45"/>
      <c r="C24" s="150" t="s">
        <v>456</v>
      </c>
      <c r="D24" s="47"/>
      <c r="E24" s="47"/>
      <c r="F24" s="31"/>
      <c r="G24" s="31"/>
      <c r="H24" s="31"/>
      <c r="I24" s="31"/>
      <c r="J24" s="47"/>
      <c r="K24" s="31"/>
      <c r="L24" s="31"/>
      <c r="M24" s="31"/>
      <c r="N24" s="31"/>
      <c r="O24" s="31"/>
      <c r="P24" s="31"/>
      <c r="Q24" s="31"/>
      <c r="R24" s="31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</row>
    <row r="25" spans="1:255" ht="12" thickBot="1" x14ac:dyDescent="0.2">
      <c r="A25" s="32"/>
      <c r="B25" s="38"/>
      <c r="C25" s="34"/>
      <c r="D25" s="17"/>
      <c r="E25" s="17"/>
      <c r="F25" s="30"/>
      <c r="G25" s="30"/>
      <c r="H25" s="30"/>
      <c r="I25" s="30"/>
      <c r="J25" s="17"/>
      <c r="K25" s="30"/>
      <c r="L25" s="30"/>
      <c r="N25" s="30"/>
      <c r="O25" s="30"/>
      <c r="P25" s="33"/>
      <c r="Q25" s="30"/>
      <c r="R25" s="30"/>
    </row>
    <row r="26" spans="1:255" ht="12" x14ac:dyDescent="0.15">
      <c r="A26" s="32"/>
      <c r="B26" s="38"/>
      <c r="C26" s="34" t="s">
        <v>673</v>
      </c>
      <c r="D26" s="17">
        <v>0</v>
      </c>
      <c r="E26" s="17"/>
      <c r="F26" s="30"/>
      <c r="G26" s="30"/>
      <c r="H26" s="30">
        <v>142.4</v>
      </c>
      <c r="I26" s="30"/>
      <c r="J26" s="17"/>
      <c r="K26" s="30"/>
      <c r="L26" s="30"/>
      <c r="N26" s="30"/>
      <c r="O26" s="30"/>
      <c r="P26" s="157">
        <f>D26+H26-L26</f>
        <v>142.4</v>
      </c>
      <c r="Q26" s="158"/>
      <c r="R26" s="30"/>
    </row>
    <row r="27" spans="1:255" x14ac:dyDescent="0.15">
      <c r="A27" s="32"/>
      <c r="B27" s="38"/>
      <c r="C27" s="32" t="s">
        <v>469</v>
      </c>
      <c r="D27" s="17">
        <v>0</v>
      </c>
      <c r="E27" s="17"/>
      <c r="F27" s="30"/>
      <c r="G27" s="30"/>
      <c r="H27" s="30"/>
      <c r="I27" s="62"/>
      <c r="J27" s="17"/>
      <c r="K27" s="30"/>
      <c r="M27" s="30"/>
      <c r="N27" s="30"/>
      <c r="O27" s="30"/>
      <c r="P27" s="159"/>
      <c r="Q27" s="78"/>
      <c r="R27" s="30"/>
    </row>
    <row r="28" spans="1:255" x14ac:dyDescent="0.15">
      <c r="A28" s="32"/>
      <c r="B28" s="38"/>
      <c r="C28" s="32"/>
      <c r="D28" s="17"/>
      <c r="E28" s="17"/>
      <c r="F28" s="30"/>
      <c r="G28" s="30"/>
      <c r="H28" s="30"/>
      <c r="I28" s="30"/>
      <c r="J28" s="17"/>
      <c r="K28" s="30"/>
      <c r="L28" s="30"/>
      <c r="M28" s="30"/>
      <c r="N28" s="30"/>
      <c r="O28" s="30"/>
      <c r="P28" s="159"/>
      <c r="Q28" s="78"/>
      <c r="R28" s="30"/>
    </row>
    <row r="29" spans="1:255" ht="11.5" customHeight="1" x14ac:dyDescent="0.15">
      <c r="A29" s="32" t="s">
        <v>560</v>
      </c>
      <c r="B29" s="38" t="s">
        <v>561</v>
      </c>
      <c r="C29" s="32" t="s">
        <v>551</v>
      </c>
      <c r="D29" s="17">
        <v>1806.32</v>
      </c>
      <c r="E29" s="17">
        <f>SUM(D26:D29)</f>
        <v>1806.32</v>
      </c>
      <c r="F29" s="30"/>
      <c r="G29" s="30"/>
      <c r="H29" s="30"/>
      <c r="I29" s="30"/>
      <c r="J29" s="17"/>
      <c r="K29" s="30"/>
      <c r="L29" s="30"/>
      <c r="M29" s="30"/>
      <c r="N29" s="30"/>
      <c r="O29" s="30"/>
      <c r="P29" s="159">
        <f>D29+H29-L29</f>
        <v>1806.32</v>
      </c>
      <c r="Q29" s="78"/>
      <c r="R29" s="30"/>
    </row>
    <row r="30" spans="1:255" ht="11.5" customHeight="1" x14ac:dyDescent="0.15">
      <c r="A30" s="32"/>
      <c r="B30" s="38"/>
      <c r="C30" s="32"/>
      <c r="D30" s="17"/>
      <c r="E30" s="17"/>
      <c r="F30" s="30"/>
      <c r="G30" s="30"/>
      <c r="H30" s="30"/>
      <c r="I30" s="30"/>
      <c r="J30" s="17"/>
      <c r="K30" s="30"/>
      <c r="L30" s="30"/>
      <c r="M30" s="30"/>
      <c r="N30" s="30"/>
      <c r="O30" s="30"/>
      <c r="P30" s="159"/>
      <c r="Q30" s="78"/>
      <c r="R30" s="30"/>
    </row>
    <row r="31" spans="1:255" x14ac:dyDescent="0.15">
      <c r="C31" s="50" t="s">
        <v>691</v>
      </c>
      <c r="D31" s="30">
        <v>50000</v>
      </c>
      <c r="E31" s="30">
        <f>D31</f>
        <v>50000</v>
      </c>
      <c r="F31" s="30"/>
      <c r="H31" s="30">
        <v>15400</v>
      </c>
      <c r="I31" s="30"/>
      <c r="M31" s="30">
        <f>SUM(L29:L29)</f>
        <v>0</v>
      </c>
      <c r="P31" s="159">
        <f>D31+H31-L31</f>
        <v>65400</v>
      </c>
      <c r="Q31" s="80"/>
    </row>
    <row r="32" spans="1:255" x14ac:dyDescent="0.15">
      <c r="C32" s="50" t="s">
        <v>428</v>
      </c>
      <c r="D32" s="30"/>
      <c r="E32" s="30"/>
      <c r="F32" s="30"/>
      <c r="H32" s="30">
        <v>5000</v>
      </c>
      <c r="I32" s="30"/>
      <c r="M32" s="30"/>
      <c r="P32" s="159">
        <f>D32+H32-L32</f>
        <v>5000</v>
      </c>
      <c r="Q32" s="80"/>
    </row>
    <row r="33" spans="1:21" x14ac:dyDescent="0.15">
      <c r="H33" s="30"/>
      <c r="I33" s="30"/>
      <c r="M33" s="30"/>
      <c r="P33" s="81"/>
      <c r="Q33" s="80"/>
    </row>
    <row r="34" spans="1:21" x14ac:dyDescent="0.15">
      <c r="A34" s="32" t="s">
        <v>569</v>
      </c>
      <c r="B34" s="38" t="s">
        <v>570</v>
      </c>
      <c r="C34" s="32" t="s">
        <v>571</v>
      </c>
      <c r="D34" s="17">
        <v>1086.0899999999999</v>
      </c>
      <c r="E34" s="17"/>
      <c r="F34" s="30"/>
      <c r="G34" s="30"/>
      <c r="H34" s="30"/>
      <c r="I34" s="30"/>
      <c r="J34" s="17"/>
      <c r="K34" s="30"/>
      <c r="L34" s="30"/>
      <c r="M34" s="30"/>
      <c r="N34" s="30"/>
      <c r="O34" s="30"/>
      <c r="P34" s="159">
        <f>D34+H34-L34</f>
        <v>1086.0899999999999</v>
      </c>
      <c r="Q34" s="78"/>
      <c r="R34" s="30"/>
    </row>
    <row r="35" spans="1:21" x14ac:dyDescent="0.15">
      <c r="A35" s="32" t="s">
        <v>568</v>
      </c>
      <c r="B35" s="38" t="s">
        <v>563</v>
      </c>
      <c r="C35" s="32" t="s">
        <v>557</v>
      </c>
      <c r="D35" s="17"/>
      <c r="E35" s="17"/>
      <c r="F35" s="30"/>
      <c r="G35" s="30"/>
      <c r="H35" s="30"/>
      <c r="I35" s="30"/>
      <c r="J35" s="17"/>
      <c r="K35" s="30"/>
      <c r="L35" s="30"/>
      <c r="M35" s="30"/>
      <c r="N35" s="62"/>
      <c r="O35" s="30"/>
      <c r="P35" s="159">
        <f>D35+H35+I35-L35+N35</f>
        <v>0</v>
      </c>
      <c r="Q35" s="78"/>
      <c r="R35" s="30"/>
    </row>
    <row r="36" spans="1:21" x14ac:dyDescent="0.15">
      <c r="A36" s="32" t="s">
        <v>83</v>
      </c>
      <c r="B36" s="32" t="s">
        <v>562</v>
      </c>
      <c r="C36" s="32" t="s">
        <v>137</v>
      </c>
      <c r="D36" s="40">
        <v>180.43</v>
      </c>
      <c r="E36" s="40"/>
      <c r="F36" s="30"/>
      <c r="G36" s="30"/>
      <c r="H36" s="30"/>
      <c r="J36" s="30"/>
      <c r="K36" s="30"/>
      <c r="L36" s="30"/>
      <c r="N36" s="30"/>
      <c r="O36" s="30"/>
      <c r="P36" s="159">
        <f>D36+H36-L36</f>
        <v>180.43</v>
      </c>
      <c r="Q36" s="78"/>
      <c r="R36" s="30"/>
    </row>
    <row r="37" spans="1:21" ht="12" thickBot="1" x14ac:dyDescent="0.2">
      <c r="A37" s="32"/>
      <c r="B37" s="38"/>
      <c r="C37" s="32"/>
      <c r="D37" s="17"/>
      <c r="E37" s="17">
        <f>SUM(D34:D36)</f>
        <v>1266.52</v>
      </c>
      <c r="F37" s="40"/>
      <c r="G37" s="30"/>
      <c r="H37" s="30"/>
      <c r="I37" s="30"/>
      <c r="J37" s="17"/>
      <c r="K37" s="30"/>
      <c r="L37" s="30"/>
      <c r="M37" s="30"/>
      <c r="N37" s="30"/>
      <c r="O37" s="30"/>
      <c r="P37" s="160">
        <f>D37+H37-L37</f>
        <v>0</v>
      </c>
      <c r="Q37" s="79"/>
      <c r="R37" s="30"/>
    </row>
    <row r="38" spans="1:21" x14ac:dyDescent="0.15">
      <c r="A38" s="32"/>
      <c r="B38" s="38"/>
      <c r="C38" s="32"/>
      <c r="D38" s="17"/>
      <c r="E38" s="17"/>
      <c r="F38" s="30"/>
      <c r="G38" s="30"/>
      <c r="H38" s="30"/>
      <c r="I38" s="30"/>
      <c r="J38" s="17"/>
      <c r="K38" s="30"/>
      <c r="L38" s="30"/>
      <c r="M38" s="30"/>
      <c r="N38" s="30"/>
      <c r="O38" s="30"/>
      <c r="P38" s="315"/>
      <c r="Q38" s="316">
        <f>SUM(P26:P37)</f>
        <v>73615.239999999991</v>
      </c>
      <c r="R38" s="317">
        <f>Q38</f>
        <v>73615.239999999991</v>
      </c>
    </row>
    <row r="39" spans="1:21" x14ac:dyDescent="0.15">
      <c r="H39" s="30"/>
      <c r="P39" s="81"/>
      <c r="Q39" s="80"/>
    </row>
    <row r="40" spans="1:21" ht="12" thickBot="1" x14ac:dyDescent="0.2">
      <c r="A40" s="32"/>
      <c r="B40" s="38"/>
      <c r="C40" s="32"/>
      <c r="D40" s="17"/>
      <c r="E40" s="17"/>
      <c r="F40" s="30"/>
      <c r="G40" s="30"/>
      <c r="H40" s="30"/>
      <c r="I40" s="30"/>
      <c r="J40" s="17"/>
      <c r="K40" s="30"/>
      <c r="L40" s="30"/>
      <c r="M40" s="30"/>
      <c r="N40" s="30"/>
      <c r="O40" s="30"/>
      <c r="P40" s="161"/>
      <c r="Q40" s="80"/>
    </row>
    <row r="41" spans="1:21" ht="12" thickBot="1" x14ac:dyDescent="0.2">
      <c r="A41" s="32"/>
      <c r="B41" s="38"/>
      <c r="C41" s="150" t="s">
        <v>455</v>
      </c>
      <c r="D41" s="17"/>
      <c r="E41" s="17"/>
      <c r="F41" s="30"/>
      <c r="G41" s="30"/>
      <c r="H41" s="30"/>
      <c r="I41" s="30"/>
      <c r="J41" s="17"/>
      <c r="K41" s="30"/>
      <c r="L41" s="30"/>
      <c r="M41" s="30"/>
      <c r="N41" s="30"/>
      <c r="O41" s="30"/>
      <c r="P41" s="161"/>
      <c r="Q41" s="78"/>
      <c r="R41" s="30"/>
      <c r="U41" s="30"/>
    </row>
    <row r="42" spans="1:21" x14ac:dyDescent="0.15">
      <c r="A42" s="32"/>
      <c r="B42" s="32"/>
      <c r="C42" s="32"/>
      <c r="D42" s="17"/>
      <c r="E42" s="17"/>
      <c r="F42" s="30"/>
      <c r="G42" s="30"/>
      <c r="H42" s="30"/>
      <c r="I42" s="30"/>
      <c r="J42" s="17"/>
      <c r="K42" s="30"/>
      <c r="L42" s="30"/>
      <c r="M42" s="30"/>
      <c r="N42" s="30"/>
      <c r="O42" s="30"/>
      <c r="P42" s="159"/>
      <c r="Q42" s="78"/>
      <c r="R42" s="30"/>
    </row>
    <row r="43" spans="1:21" x14ac:dyDescent="0.15">
      <c r="A43" s="32" t="s">
        <v>623</v>
      </c>
      <c r="B43" s="32"/>
      <c r="C43" s="32" t="s">
        <v>624</v>
      </c>
      <c r="D43" s="17">
        <v>50000</v>
      </c>
      <c r="E43" s="17">
        <f>D43</f>
        <v>50000</v>
      </c>
      <c r="F43" s="30"/>
      <c r="G43" s="30"/>
      <c r="H43" s="30"/>
      <c r="I43" s="30"/>
      <c r="J43" s="17"/>
      <c r="K43" s="30"/>
      <c r="L43" s="30"/>
      <c r="M43" s="30"/>
      <c r="N43" s="30"/>
      <c r="O43" s="30"/>
      <c r="P43" s="33">
        <f>D43+H43+I43-L43</f>
        <v>50000</v>
      </c>
      <c r="Q43" s="30"/>
      <c r="R43" s="30" t="s">
        <v>639</v>
      </c>
    </row>
    <row r="44" spans="1:21" x14ac:dyDescent="0.15">
      <c r="H44" s="30"/>
      <c r="P44" s="33"/>
      <c r="Q44" s="80"/>
    </row>
    <row r="45" spans="1:21" x14ac:dyDescent="0.15">
      <c r="A45" s="32" t="s">
        <v>86</v>
      </c>
      <c r="B45" s="32" t="s">
        <v>87</v>
      </c>
      <c r="C45" s="32" t="s">
        <v>85</v>
      </c>
      <c r="D45" s="17">
        <v>4250.1499999999996</v>
      </c>
      <c r="E45" s="17"/>
      <c r="F45" s="30"/>
      <c r="G45" s="30"/>
      <c r="H45" s="30">
        <v>5628.1</v>
      </c>
      <c r="I45" s="30"/>
      <c r="J45" s="17"/>
      <c r="K45" s="30"/>
      <c r="L45" s="30"/>
      <c r="M45" s="30"/>
      <c r="N45" s="30"/>
      <c r="O45" s="30"/>
      <c r="P45" s="159">
        <f>D45+H45-L45+N45</f>
        <v>9878.25</v>
      </c>
      <c r="Q45" s="78"/>
      <c r="R45" s="30"/>
    </row>
    <row r="46" spans="1:21" x14ac:dyDescent="0.15">
      <c r="A46" s="32" t="s">
        <v>133</v>
      </c>
      <c r="B46" s="32" t="s">
        <v>79</v>
      </c>
      <c r="C46" s="32" t="s">
        <v>80</v>
      </c>
      <c r="D46" s="17">
        <v>4188.4799999999996</v>
      </c>
      <c r="E46" s="17"/>
      <c r="F46" s="30"/>
      <c r="G46" s="30"/>
      <c r="H46" s="30"/>
      <c r="I46" s="30"/>
      <c r="J46" s="17"/>
      <c r="K46" s="30"/>
      <c r="L46" s="30"/>
      <c r="M46" s="30"/>
      <c r="N46" s="30"/>
      <c r="O46" s="30"/>
      <c r="P46" s="159">
        <f>D46+H46-L46</f>
        <v>4188.4799999999996</v>
      </c>
      <c r="Q46" s="78"/>
      <c r="R46" s="30"/>
    </row>
    <row r="47" spans="1:21" x14ac:dyDescent="0.15">
      <c r="A47" s="32" t="s">
        <v>566</v>
      </c>
      <c r="B47" s="32"/>
      <c r="C47" s="32" t="s">
        <v>552</v>
      </c>
      <c r="D47" s="17">
        <v>119</v>
      </c>
      <c r="E47" s="17"/>
      <c r="F47" s="30"/>
      <c r="G47" s="30"/>
      <c r="H47" s="30"/>
      <c r="I47" s="30"/>
      <c r="J47" s="17"/>
      <c r="K47" s="30"/>
      <c r="L47" s="30"/>
      <c r="M47" s="30"/>
      <c r="N47" s="30"/>
      <c r="O47" s="30"/>
      <c r="P47" s="159">
        <f>D47+H47-L47</f>
        <v>119</v>
      </c>
      <c r="Q47" s="78"/>
      <c r="R47" s="30"/>
    </row>
    <row r="48" spans="1:21" x14ac:dyDescent="0.15">
      <c r="A48" s="32" t="s">
        <v>135</v>
      </c>
      <c r="B48" s="32" t="s">
        <v>81</v>
      </c>
      <c r="C48" s="32" t="s">
        <v>453</v>
      </c>
      <c r="D48" s="17">
        <v>5575.67</v>
      </c>
      <c r="E48" s="17"/>
      <c r="F48" s="30"/>
      <c r="G48" s="30"/>
      <c r="H48" s="30"/>
      <c r="I48" s="30"/>
      <c r="J48" s="17"/>
      <c r="K48" s="30"/>
      <c r="L48" s="30"/>
      <c r="M48" s="30"/>
      <c r="N48" s="30"/>
      <c r="O48" s="30"/>
      <c r="P48" s="159">
        <f>D48+H48-L48</f>
        <v>5575.67</v>
      </c>
      <c r="Q48" s="78"/>
      <c r="R48" s="30"/>
    </row>
    <row r="49" spans="1:21" ht="12" thickBot="1" x14ac:dyDescent="0.2">
      <c r="A49" s="32" t="s">
        <v>78</v>
      </c>
      <c r="B49" s="32" t="s">
        <v>79</v>
      </c>
      <c r="C49" s="32" t="s">
        <v>498</v>
      </c>
      <c r="D49" s="41">
        <v>7625.26</v>
      </c>
      <c r="E49" s="41"/>
      <c r="F49" s="30"/>
      <c r="G49" s="30"/>
      <c r="H49" s="30"/>
      <c r="I49" s="30"/>
      <c r="J49" s="17"/>
      <c r="K49" s="30"/>
      <c r="L49" s="30"/>
      <c r="M49" s="30"/>
      <c r="N49" s="30"/>
      <c r="O49" s="30"/>
      <c r="P49" s="159">
        <f>D49+H49-L49</f>
        <v>7625.26</v>
      </c>
      <c r="Q49" s="78"/>
      <c r="R49" s="30"/>
    </row>
    <row r="50" spans="1:21" x14ac:dyDescent="0.15">
      <c r="E50" s="30">
        <f>SUM(D45:D49)</f>
        <v>21758.559999999998</v>
      </c>
      <c r="F50" s="30"/>
      <c r="H50" s="30"/>
      <c r="P50" s="81"/>
      <c r="Q50" s="80"/>
    </row>
    <row r="51" spans="1:21" x14ac:dyDescent="0.15">
      <c r="A51" s="32" t="s">
        <v>84</v>
      </c>
      <c r="B51" s="32" t="s">
        <v>538</v>
      </c>
      <c r="C51" s="32" t="s">
        <v>131</v>
      </c>
      <c r="D51" s="17">
        <v>1191.6600000000001</v>
      </c>
      <c r="E51" s="17"/>
      <c r="F51" s="30"/>
      <c r="G51" s="30"/>
      <c r="H51" s="30">
        <v>323.92</v>
      </c>
      <c r="I51" s="30"/>
      <c r="J51" s="17"/>
      <c r="K51" s="30"/>
      <c r="L51" s="30">
        <v>1515.58</v>
      </c>
      <c r="M51" s="30"/>
      <c r="N51" s="30"/>
      <c r="O51" s="30"/>
      <c r="P51" s="159">
        <f>D51+H51-L51</f>
        <v>0</v>
      </c>
      <c r="Q51" s="78"/>
      <c r="R51" s="30"/>
    </row>
    <row r="52" spans="1:21" x14ac:dyDescent="0.15">
      <c r="A52" s="32" t="s">
        <v>73</v>
      </c>
      <c r="B52" s="32" t="s">
        <v>74</v>
      </c>
      <c r="C52" s="32" t="s">
        <v>75</v>
      </c>
      <c r="D52" s="30">
        <v>10564.96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159">
        <f>D52+H52-L52</f>
        <v>10564.96</v>
      </c>
      <c r="Q52" s="78"/>
      <c r="R52" s="30"/>
    </row>
    <row r="53" spans="1:21" x14ac:dyDescent="0.15">
      <c r="A53" s="32" t="s">
        <v>76</v>
      </c>
      <c r="B53" s="32" t="s">
        <v>77</v>
      </c>
      <c r="C53" s="32" t="s">
        <v>136</v>
      </c>
      <c r="D53" s="17">
        <v>1200.28</v>
      </c>
      <c r="E53" s="17"/>
      <c r="F53" s="30"/>
      <c r="G53" s="30"/>
      <c r="H53" s="30"/>
      <c r="I53" s="30"/>
      <c r="J53" s="17"/>
      <c r="K53" s="30"/>
      <c r="L53" s="30"/>
      <c r="M53" s="30"/>
      <c r="N53" s="30"/>
      <c r="O53" s="30"/>
      <c r="P53" s="159">
        <f>D53+H53-L53</f>
        <v>1200.28</v>
      </c>
      <c r="Q53" s="78"/>
      <c r="R53" s="30"/>
    </row>
    <row r="54" spans="1:21" x14ac:dyDescent="0.15">
      <c r="A54" s="32" t="s">
        <v>565</v>
      </c>
      <c r="B54" s="32" t="s">
        <v>564</v>
      </c>
      <c r="C54" s="32" t="s">
        <v>82</v>
      </c>
      <c r="D54" s="17">
        <v>2631.45</v>
      </c>
      <c r="E54" s="17"/>
      <c r="F54" s="30"/>
      <c r="G54" s="30"/>
      <c r="H54" s="30"/>
      <c r="I54" s="30"/>
      <c r="J54" s="17"/>
      <c r="K54" s="30"/>
      <c r="L54" s="30"/>
      <c r="M54" s="30"/>
      <c r="N54" s="30"/>
      <c r="O54" s="30"/>
      <c r="P54" s="159">
        <f>D54+H54-L54</f>
        <v>2631.45</v>
      </c>
      <c r="Q54" s="78"/>
      <c r="R54" s="30"/>
    </row>
    <row r="55" spans="1:21" x14ac:dyDescent="0.15">
      <c r="H55" s="30"/>
      <c r="P55" s="81"/>
      <c r="Q55" s="80"/>
    </row>
    <row r="56" spans="1:21" x14ac:dyDescent="0.15">
      <c r="A56" s="32" t="s">
        <v>565</v>
      </c>
      <c r="B56" s="32"/>
      <c r="C56" s="32" t="s">
        <v>134</v>
      </c>
      <c r="D56" s="17">
        <v>335.93000000000029</v>
      </c>
      <c r="E56" s="17"/>
      <c r="F56" s="30"/>
      <c r="G56" s="30"/>
      <c r="H56" s="30"/>
      <c r="I56" s="30"/>
      <c r="J56" s="17"/>
      <c r="K56" s="30"/>
      <c r="L56" s="30"/>
      <c r="M56" s="30"/>
      <c r="N56" s="30"/>
      <c r="O56" s="30"/>
      <c r="P56" s="159">
        <f>D56+H56-L56</f>
        <v>335.93000000000029</v>
      </c>
      <c r="Q56" s="78"/>
      <c r="R56" s="30"/>
    </row>
    <row r="57" spans="1:21" ht="12" thickBot="1" x14ac:dyDescent="0.2">
      <c r="A57" s="32" t="s">
        <v>567</v>
      </c>
      <c r="B57" s="32"/>
      <c r="C57" s="32" t="s">
        <v>132</v>
      </c>
      <c r="D57" s="41">
        <v>1342.15</v>
      </c>
      <c r="E57" s="41"/>
      <c r="F57" s="30"/>
      <c r="G57" s="30"/>
      <c r="H57" s="30"/>
      <c r="I57" s="30"/>
      <c r="J57" s="17"/>
      <c r="K57" s="30"/>
      <c r="L57" s="30"/>
      <c r="M57" s="30"/>
      <c r="N57" s="30"/>
      <c r="O57" s="30"/>
      <c r="P57" s="159">
        <f>D57+H57-L57</f>
        <v>1342.15</v>
      </c>
      <c r="Q57" s="78">
        <f>SUM(P42:P57)</f>
        <v>93461.43</v>
      </c>
      <c r="R57" s="30">
        <f>Q57</f>
        <v>93461.43</v>
      </c>
      <c r="U57" s="30">
        <f>SUM(R27:R57)</f>
        <v>167076.66999999998</v>
      </c>
    </row>
    <row r="58" spans="1:21" ht="12" thickBot="1" x14ac:dyDescent="0.2">
      <c r="E58" s="30">
        <f>SUM(D51:D57)</f>
        <v>17266.43</v>
      </c>
      <c r="F58" s="30"/>
      <c r="H58" s="30"/>
      <c r="P58" s="162"/>
      <c r="Q58" s="139"/>
    </row>
    <row r="59" spans="1:21" x14ac:dyDescent="0.15">
      <c r="A59" s="32"/>
      <c r="B59" s="32"/>
      <c r="C59" s="32"/>
      <c r="D59" s="17"/>
      <c r="E59" s="17"/>
      <c r="F59" s="30"/>
      <c r="G59" s="30"/>
      <c r="H59" s="30"/>
      <c r="I59" s="30"/>
      <c r="J59" s="17"/>
      <c r="K59" s="30"/>
      <c r="L59" s="30"/>
      <c r="M59" s="30"/>
      <c r="N59" s="30"/>
      <c r="O59" s="30"/>
      <c r="P59" s="33">
        <f>D59+F59-K59-M59</f>
        <v>0</v>
      </c>
      <c r="Q59" s="30"/>
      <c r="R59" s="30"/>
    </row>
    <row r="60" spans="1:21" x14ac:dyDescent="0.15">
      <c r="A60" s="32"/>
      <c r="B60" s="32"/>
      <c r="C60" s="32"/>
      <c r="D60" s="17"/>
      <c r="E60" s="17"/>
      <c r="F60" s="30">
        <f>SUM(D25:D57)</f>
        <v>142097.82999999999</v>
      </c>
      <c r="G60" s="30"/>
      <c r="H60" s="30"/>
      <c r="I60" s="30"/>
      <c r="J60" s="17"/>
      <c r="K60" s="30"/>
      <c r="L60" s="30"/>
      <c r="M60" s="30"/>
      <c r="N60" s="30"/>
      <c r="O60" s="30"/>
      <c r="P60" s="33"/>
      <c r="Q60" s="30"/>
      <c r="R60" s="30"/>
    </row>
    <row r="61" spans="1:21" x14ac:dyDescent="0.15">
      <c r="A61" s="32"/>
      <c r="B61" s="32"/>
      <c r="C61" s="32"/>
      <c r="D61" s="17"/>
      <c r="E61" s="17"/>
      <c r="F61" s="30"/>
      <c r="G61" s="30"/>
      <c r="H61" s="30"/>
      <c r="I61" s="30"/>
      <c r="J61" s="17"/>
      <c r="K61" s="30"/>
      <c r="L61" s="30"/>
      <c r="M61" s="30"/>
      <c r="N61" s="30"/>
      <c r="O61" s="30"/>
      <c r="P61" s="33"/>
      <c r="Q61" s="30"/>
      <c r="R61" s="30"/>
    </row>
    <row r="62" spans="1:21" x14ac:dyDescent="0.15">
      <c r="A62" s="32"/>
      <c r="B62" s="32"/>
      <c r="C62" s="32"/>
      <c r="D62" s="17"/>
      <c r="E62" s="17"/>
      <c r="F62" s="30"/>
      <c r="G62" s="30"/>
      <c r="H62" s="30"/>
      <c r="I62" s="30"/>
      <c r="J62" s="17"/>
      <c r="K62" s="30"/>
      <c r="L62" s="30"/>
      <c r="M62" s="30"/>
      <c r="N62" s="30"/>
      <c r="O62" s="30"/>
      <c r="P62" s="33"/>
      <c r="Q62" s="30"/>
      <c r="R62" s="30"/>
    </row>
    <row r="63" spans="1:21" x14ac:dyDescent="0.15">
      <c r="A63" s="32"/>
      <c r="B63" s="32"/>
      <c r="C63" s="42"/>
      <c r="D63" s="17"/>
      <c r="E63" s="17"/>
      <c r="F63" s="30"/>
      <c r="G63" s="30"/>
      <c r="H63" s="30"/>
      <c r="I63" s="30"/>
      <c r="J63" s="17"/>
      <c r="K63" s="30"/>
      <c r="L63" s="30"/>
      <c r="M63" s="30"/>
      <c r="N63" s="30"/>
      <c r="O63" s="30"/>
      <c r="P63" s="30"/>
      <c r="Q63" s="30"/>
      <c r="R63" s="30"/>
    </row>
    <row r="64" spans="1:21" ht="12" thickBot="1" x14ac:dyDescent="0.2">
      <c r="A64" s="32"/>
      <c r="B64" s="32"/>
      <c r="C64" s="17" t="s">
        <v>88</v>
      </c>
      <c r="D64" s="41">
        <v>20482.009999999998</v>
      </c>
      <c r="E64" s="41"/>
      <c r="F64" s="30"/>
      <c r="G64" s="30"/>
      <c r="H64" s="30"/>
      <c r="I64" s="30"/>
      <c r="J64" s="17"/>
      <c r="K64" s="30"/>
      <c r="L64" s="30"/>
      <c r="M64" s="30"/>
      <c r="N64" s="30"/>
      <c r="O64" s="30"/>
      <c r="P64" s="33">
        <f>D64+H64-L64</f>
        <v>20482.009999999998</v>
      </c>
      <c r="Q64" s="40">
        <f>P64</f>
        <v>20482.009999999998</v>
      </c>
      <c r="R64" s="40"/>
      <c r="S64" s="71"/>
    </row>
    <row r="65" spans="1:255" ht="12" thickBot="1" x14ac:dyDescent="0.2">
      <c r="A65" s="32"/>
      <c r="B65" s="32"/>
      <c r="C65" s="32"/>
      <c r="D65" s="17"/>
      <c r="E65" s="17">
        <f>D64</f>
        <v>20482.009999999998</v>
      </c>
      <c r="F65" s="40">
        <f>E65</f>
        <v>20482.009999999998</v>
      </c>
      <c r="G65" s="30"/>
      <c r="H65" s="30"/>
      <c r="I65" s="30"/>
      <c r="J65" s="17"/>
      <c r="K65" s="30"/>
      <c r="L65" s="30"/>
      <c r="M65" s="30"/>
      <c r="N65" s="30"/>
      <c r="O65" s="30"/>
      <c r="P65" s="30"/>
      <c r="Q65" s="30"/>
      <c r="R65" s="30"/>
      <c r="S65" s="30">
        <f>SUM(Q38:Q64)</f>
        <v>187558.68</v>
      </c>
    </row>
    <row r="66" spans="1:255" ht="12" thickBot="1" x14ac:dyDescent="0.2">
      <c r="A66" s="32"/>
      <c r="B66" s="32"/>
      <c r="C66" s="32"/>
      <c r="D66" s="17"/>
      <c r="E66" s="44"/>
      <c r="G66" s="30"/>
      <c r="H66" s="30"/>
      <c r="I66" s="30"/>
      <c r="J66" s="17"/>
      <c r="K66" s="30"/>
      <c r="L66" s="30"/>
      <c r="M66" s="30"/>
      <c r="N66" s="30"/>
      <c r="O66" s="30"/>
      <c r="P66" s="30"/>
      <c r="Q66" s="30"/>
      <c r="R66" s="30"/>
      <c r="S66" s="30"/>
    </row>
    <row r="67" spans="1:255" x14ac:dyDescent="0.15">
      <c r="A67" s="32"/>
      <c r="B67" s="32"/>
      <c r="C67" s="32"/>
      <c r="D67" s="17"/>
      <c r="E67" s="17"/>
      <c r="F67" s="30"/>
      <c r="G67" s="30"/>
      <c r="H67" s="30"/>
      <c r="I67" s="30"/>
      <c r="J67" s="17"/>
      <c r="K67" s="30"/>
      <c r="L67" s="30"/>
      <c r="M67" s="30"/>
      <c r="N67" s="30"/>
      <c r="O67" s="30"/>
      <c r="P67" s="30"/>
      <c r="Q67" s="30"/>
      <c r="R67" s="30"/>
      <c r="S67" s="30"/>
    </row>
    <row r="68" spans="1:255" x14ac:dyDescent="0.15">
      <c r="A68" s="32"/>
      <c r="B68" s="32"/>
      <c r="C68" s="32" t="s">
        <v>420</v>
      </c>
      <c r="D68" s="17">
        <v>65537.53</v>
      </c>
      <c r="E68" s="17"/>
      <c r="F68" s="30"/>
      <c r="G68" s="30"/>
      <c r="H68" s="30"/>
      <c r="I68" s="30"/>
      <c r="J68" s="17"/>
      <c r="K68" s="30"/>
      <c r="L68" s="30"/>
      <c r="M68" s="30"/>
      <c r="N68" s="30"/>
      <c r="O68" s="30"/>
      <c r="P68" s="33">
        <f>D68+H68-L68</f>
        <v>65537.53</v>
      </c>
      <c r="Q68" s="30"/>
      <c r="R68" s="30"/>
    </row>
    <row r="69" spans="1:255" ht="12" thickBot="1" x14ac:dyDescent="0.2">
      <c r="A69" s="32"/>
      <c r="B69" s="32"/>
      <c r="C69" s="32" t="s">
        <v>421</v>
      </c>
      <c r="D69" s="41">
        <v>505</v>
      </c>
      <c r="E69" s="41"/>
      <c r="F69" s="30"/>
      <c r="G69" s="30"/>
      <c r="H69" s="30"/>
      <c r="I69" s="30"/>
      <c r="J69" s="17"/>
      <c r="K69" s="30"/>
      <c r="L69" s="30"/>
      <c r="M69" s="30"/>
      <c r="N69" s="30"/>
      <c r="O69" s="30"/>
      <c r="P69" s="33">
        <f>D69+H69-L69</f>
        <v>505</v>
      </c>
      <c r="Q69" s="40"/>
      <c r="R69" s="30"/>
    </row>
    <row r="70" spans="1:255" ht="12" thickBot="1" x14ac:dyDescent="0.2">
      <c r="A70" s="32"/>
      <c r="B70" s="32"/>
      <c r="C70" s="32"/>
      <c r="D70" s="17"/>
      <c r="E70" s="17">
        <f>SUM(D68:D69)</f>
        <v>66042.53</v>
      </c>
      <c r="F70" s="30"/>
      <c r="G70" s="30"/>
      <c r="H70" s="30"/>
      <c r="I70" s="30"/>
      <c r="J70" s="17"/>
      <c r="K70" s="30"/>
      <c r="L70" s="30"/>
      <c r="M70" s="30"/>
      <c r="N70" s="30"/>
      <c r="O70" s="30"/>
      <c r="P70" s="30"/>
      <c r="Q70" s="36">
        <f>SUM(P68:P69)</f>
        <v>66042.53</v>
      </c>
      <c r="R70" s="30"/>
    </row>
    <row r="71" spans="1:255" x14ac:dyDescent="0.15">
      <c r="A71" s="32"/>
      <c r="B71" s="32"/>
      <c r="C71" s="32"/>
      <c r="D71" s="17"/>
      <c r="E71" s="17"/>
      <c r="F71" s="30"/>
      <c r="G71" s="30"/>
      <c r="H71" s="30"/>
      <c r="I71" s="30"/>
      <c r="J71" s="17"/>
      <c r="K71" s="30"/>
      <c r="L71" s="30"/>
      <c r="M71" s="30"/>
      <c r="N71" s="30"/>
      <c r="O71" s="30"/>
      <c r="P71" s="30"/>
      <c r="Q71" s="30"/>
      <c r="R71" s="30"/>
      <c r="S71" s="30"/>
    </row>
    <row r="72" spans="1:255" x14ac:dyDescent="0.15">
      <c r="A72" s="32"/>
      <c r="B72" s="32"/>
      <c r="C72" s="32"/>
      <c r="D72" s="17"/>
      <c r="E72" s="17"/>
      <c r="F72" s="30"/>
      <c r="G72" s="30"/>
      <c r="H72" s="30"/>
      <c r="I72" s="30"/>
      <c r="J72" s="17"/>
      <c r="K72" s="30"/>
      <c r="L72" s="30"/>
      <c r="M72" s="30"/>
      <c r="N72" s="30"/>
      <c r="O72" s="30"/>
      <c r="P72" s="30"/>
      <c r="Q72" s="30"/>
      <c r="R72" s="30"/>
    </row>
    <row r="73" spans="1:255" x14ac:dyDescent="0.15">
      <c r="A73" s="32"/>
      <c r="B73" s="32"/>
      <c r="C73" s="32" t="s">
        <v>625</v>
      </c>
      <c r="D73" s="17"/>
      <c r="E73" s="17"/>
      <c r="F73" s="30"/>
      <c r="G73" s="30"/>
      <c r="H73" s="30"/>
      <c r="I73" s="30"/>
      <c r="J73" s="17"/>
      <c r="K73" s="30"/>
      <c r="L73" s="30"/>
      <c r="M73" s="30"/>
      <c r="N73" s="30"/>
      <c r="O73" s="30"/>
      <c r="P73" s="30"/>
      <c r="Q73" s="30"/>
      <c r="R73" s="30"/>
    </row>
    <row r="74" spans="1:255" x14ac:dyDescent="0.15">
      <c r="A74" s="39"/>
      <c r="B74" s="39"/>
      <c r="C74" s="32"/>
      <c r="D74" s="17"/>
      <c r="E74" s="17"/>
      <c r="F74" s="30"/>
      <c r="G74" s="30"/>
      <c r="H74" s="30"/>
      <c r="I74" s="30"/>
      <c r="J74" s="17"/>
      <c r="K74" s="30"/>
      <c r="L74" s="30"/>
      <c r="M74" s="30"/>
      <c r="N74" s="30"/>
      <c r="O74" s="30"/>
      <c r="P74" s="30"/>
      <c r="Q74" s="30"/>
      <c r="R74" s="30"/>
    </row>
    <row r="75" spans="1:255" x14ac:dyDescent="0.15">
      <c r="A75" s="45"/>
      <c r="B75" s="45"/>
      <c r="C75" s="46" t="s">
        <v>91</v>
      </c>
      <c r="D75" s="47"/>
      <c r="E75" s="47"/>
      <c r="F75" s="31"/>
      <c r="G75" s="31"/>
      <c r="H75" s="31"/>
      <c r="I75" s="31"/>
      <c r="J75" s="47"/>
      <c r="K75" s="31"/>
      <c r="L75" s="31"/>
      <c r="M75" s="31"/>
      <c r="N75" s="31"/>
      <c r="O75" s="31"/>
      <c r="P75" s="31"/>
      <c r="Q75" s="31"/>
      <c r="R75" s="31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</row>
    <row r="76" spans="1:255" x14ac:dyDescent="0.15">
      <c r="A76" s="32"/>
      <c r="B76" s="38"/>
      <c r="C76" s="32" t="s">
        <v>92</v>
      </c>
      <c r="D76" s="17">
        <v>52957.62</v>
      </c>
      <c r="E76" s="17"/>
      <c r="F76" s="30"/>
      <c r="G76" s="30"/>
      <c r="H76" s="30"/>
      <c r="I76" s="30"/>
      <c r="J76" s="17"/>
      <c r="K76" s="30"/>
      <c r="L76" s="30"/>
      <c r="M76" s="30"/>
      <c r="N76" s="30"/>
      <c r="O76" s="30"/>
      <c r="P76" s="30">
        <f>SUM(D76:N76)</f>
        <v>52957.62</v>
      </c>
      <c r="Q76" s="30"/>
      <c r="R76" s="30"/>
    </row>
    <row r="77" spans="1:255" x14ac:dyDescent="0.15">
      <c r="A77" s="32"/>
      <c r="B77" s="38" t="s">
        <v>93</v>
      </c>
      <c r="C77" s="32" t="s">
        <v>94</v>
      </c>
      <c r="D77" s="17">
        <v>26800</v>
      </c>
      <c r="E77" s="17">
        <f>SUM(D76:D77)</f>
        <v>79757.62</v>
      </c>
      <c r="F77" s="30"/>
      <c r="G77" s="30"/>
      <c r="H77" s="30"/>
      <c r="I77" s="30"/>
      <c r="J77" s="17"/>
      <c r="K77" s="30"/>
      <c r="L77" s="30"/>
      <c r="M77" s="30"/>
      <c r="O77" s="30"/>
      <c r="P77" s="30">
        <f>D77+H77</f>
        <v>26800</v>
      </c>
      <c r="Q77" s="30">
        <f>SUM(P76:P77)</f>
        <v>79757.62</v>
      </c>
      <c r="R77" s="30"/>
    </row>
    <row r="78" spans="1:255" ht="12" thickBot="1" x14ac:dyDescent="0.2">
      <c r="A78" s="32"/>
      <c r="B78" s="32"/>
      <c r="C78" s="32"/>
      <c r="D78" s="17"/>
      <c r="E78" s="17"/>
      <c r="F78" s="30"/>
      <c r="G78" s="30"/>
      <c r="H78" s="30"/>
      <c r="I78" s="30"/>
      <c r="J78" s="17"/>
      <c r="K78" s="30"/>
      <c r="L78" s="30"/>
      <c r="M78" s="30"/>
      <c r="N78" s="30"/>
      <c r="O78" s="30"/>
      <c r="P78" s="30"/>
      <c r="Q78" s="30"/>
      <c r="R78" s="30"/>
    </row>
    <row r="79" spans="1:255" ht="12" thickBot="1" x14ac:dyDescent="0.2">
      <c r="A79" s="32"/>
      <c r="B79" s="32" t="s">
        <v>95</v>
      </c>
      <c r="C79" s="32"/>
      <c r="D79" s="48">
        <f>SUM(D6:D77)</f>
        <v>346763.72000000003</v>
      </c>
      <c r="E79" s="48">
        <f>SUM(E22:E77)</f>
        <v>311328.07</v>
      </c>
      <c r="F79" s="30">
        <f>SUM(F58:F65)</f>
        <v>162579.84</v>
      </c>
      <c r="G79" s="63"/>
      <c r="H79" s="48">
        <f>SUM(H11:H78)</f>
        <v>26494.42</v>
      </c>
      <c r="I79" s="48"/>
      <c r="J79" s="48"/>
      <c r="K79" s="63">
        <f>SUM(K18:K78)</f>
        <v>0</v>
      </c>
      <c r="L79" s="63">
        <f>SUM(L14:L75)</f>
        <v>1515.58</v>
      </c>
      <c r="M79" s="48"/>
      <c r="N79" s="48">
        <f>SUM(N5:N78)</f>
        <v>0</v>
      </c>
      <c r="O79" s="48"/>
      <c r="P79" s="48">
        <f>SUM(P6:P77)</f>
        <v>359905.2</v>
      </c>
      <c r="Q79" s="48"/>
      <c r="R79" s="17"/>
    </row>
    <row r="80" spans="1:255" x14ac:dyDescent="0.15">
      <c r="A80" s="43"/>
      <c r="B80" s="43"/>
      <c r="C80" s="43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1:18" x14ac:dyDescent="0.15">
      <c r="A81" s="43"/>
      <c r="B81" s="43"/>
      <c r="C81" s="43"/>
      <c r="D81" s="30"/>
      <c r="E81" s="30"/>
      <c r="F81" s="30"/>
      <c r="G81" s="30"/>
      <c r="H81" s="30">
        <f>SUM(H79)</f>
        <v>26494.42</v>
      </c>
      <c r="I81" s="30"/>
      <c r="J81" s="30"/>
      <c r="K81" s="30"/>
      <c r="L81" s="62">
        <f>SUM(K79:L79)</f>
        <v>1515.58</v>
      </c>
      <c r="N81" s="30"/>
      <c r="O81" s="30"/>
      <c r="P81" s="30"/>
      <c r="Q81" s="30"/>
      <c r="R81" s="30"/>
    </row>
    <row r="82" spans="1:18" x14ac:dyDescent="0.15">
      <c r="A82" s="43"/>
      <c r="B82" s="43"/>
      <c r="C82" s="43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 ht="0.5" customHeight="1" x14ac:dyDescent="0.15"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 x14ac:dyDescent="0.15">
      <c r="C84" s="39"/>
      <c r="H84" s="30"/>
      <c r="K84" s="30"/>
      <c r="L84" s="30">
        <v>0</v>
      </c>
      <c r="M84" s="30"/>
    </row>
    <row r="85" spans="1:18" x14ac:dyDescent="0.15">
      <c r="C85" s="39"/>
      <c r="E85" s="30"/>
      <c r="F85" s="30"/>
      <c r="H85" s="30"/>
    </row>
    <row r="86" spans="1:18" x14ac:dyDescent="0.15">
      <c r="C86" s="39"/>
      <c r="E86" s="77"/>
      <c r="F86" s="70"/>
      <c r="G86" s="70"/>
      <c r="H86" s="77"/>
      <c r="I86" s="43"/>
      <c r="J86" s="43"/>
      <c r="K86" s="43"/>
      <c r="L86" s="70"/>
      <c r="M86" s="43"/>
      <c r="N86" s="43"/>
      <c r="O86" s="43"/>
      <c r="P86" s="43"/>
    </row>
    <row r="87" spans="1:18" x14ac:dyDescent="0.15">
      <c r="C87" s="39"/>
      <c r="E87" s="30"/>
      <c r="F87" s="30"/>
      <c r="H87" s="30"/>
    </row>
    <row r="88" spans="1:18" x14ac:dyDescent="0.15">
      <c r="C88" s="39"/>
      <c r="E88" s="30"/>
      <c r="F88" s="30"/>
      <c r="H88" s="30"/>
    </row>
    <row r="89" spans="1:18" x14ac:dyDescent="0.15">
      <c r="C89" s="39"/>
      <c r="E89" s="30"/>
      <c r="F89" s="30"/>
      <c r="H89" s="30"/>
    </row>
    <row r="90" spans="1:18" x14ac:dyDescent="0.15">
      <c r="C90" s="39"/>
      <c r="E90" s="30"/>
      <c r="F90" s="30"/>
      <c r="H90" s="30"/>
    </row>
    <row r="91" spans="1:18" x14ac:dyDescent="0.15">
      <c r="C91" s="39"/>
      <c r="E91" s="30"/>
      <c r="F91" s="30"/>
      <c r="H91" s="30"/>
    </row>
    <row r="92" spans="1:18" x14ac:dyDescent="0.15">
      <c r="C92" s="39"/>
      <c r="E92" s="30"/>
      <c r="F92" s="30"/>
      <c r="H92" s="30"/>
    </row>
    <row r="93" spans="1:18" x14ac:dyDescent="0.15">
      <c r="C93" s="39"/>
      <c r="E93" s="30"/>
      <c r="F93" s="30"/>
      <c r="H93" s="30"/>
    </row>
    <row r="94" spans="1:18" x14ac:dyDescent="0.15">
      <c r="C94" s="39"/>
      <c r="E94" s="30"/>
      <c r="F94" s="30"/>
      <c r="H94" s="30"/>
    </row>
    <row r="95" spans="1:18" x14ac:dyDescent="0.15">
      <c r="C95" s="39"/>
      <c r="E95" s="30"/>
      <c r="F95" s="30"/>
      <c r="H95" s="30"/>
    </row>
    <row r="96" spans="1:18" x14ac:dyDescent="0.15">
      <c r="C96" s="39"/>
      <c r="E96" s="30"/>
      <c r="F96" s="30"/>
      <c r="H96" s="30"/>
    </row>
    <row r="97" spans="3:8" x14ac:dyDescent="0.15">
      <c r="C97" s="39"/>
      <c r="E97" s="30"/>
      <c r="F97" s="30"/>
      <c r="H97" s="30"/>
    </row>
    <row r="98" spans="3:8" x14ac:dyDescent="0.15">
      <c r="C98" s="39"/>
      <c r="E98" s="30"/>
      <c r="F98" s="30"/>
      <c r="H98" s="30"/>
    </row>
    <row r="99" spans="3:8" x14ac:dyDescent="0.15">
      <c r="C99" s="39"/>
      <c r="E99" s="30"/>
      <c r="F99" s="30"/>
      <c r="H99" s="30"/>
    </row>
    <row r="100" spans="3:8" x14ac:dyDescent="0.15">
      <c r="C100" s="39"/>
      <c r="E100" s="30"/>
      <c r="F100" s="30"/>
      <c r="H100" s="30"/>
    </row>
    <row r="101" spans="3:8" x14ac:dyDescent="0.15">
      <c r="C101" s="39"/>
      <c r="E101" s="30"/>
      <c r="F101" s="30"/>
      <c r="H101" s="30"/>
    </row>
    <row r="102" spans="3:8" x14ac:dyDescent="0.15">
      <c r="C102" s="39"/>
      <c r="E102" s="30"/>
      <c r="F102" s="30"/>
      <c r="H102" s="30"/>
    </row>
    <row r="103" spans="3:8" x14ac:dyDescent="0.15">
      <c r="C103" s="39"/>
      <c r="E103" s="30"/>
      <c r="F103" s="30"/>
      <c r="H103" s="30"/>
    </row>
    <row r="104" spans="3:8" x14ac:dyDescent="0.15">
      <c r="C104" s="39"/>
      <c r="E104" s="30"/>
      <c r="F104" s="30"/>
      <c r="H104" s="30"/>
    </row>
    <row r="105" spans="3:8" x14ac:dyDescent="0.15">
      <c r="C105" s="39"/>
      <c r="E105" s="30"/>
      <c r="F105" s="30"/>
      <c r="H105" s="30"/>
    </row>
    <row r="106" spans="3:8" x14ac:dyDescent="0.15">
      <c r="C106" s="39"/>
      <c r="E106" s="30"/>
      <c r="F106" s="30"/>
      <c r="H106" s="30"/>
    </row>
    <row r="107" spans="3:8" x14ac:dyDescent="0.15">
      <c r="C107" s="39"/>
      <c r="E107" s="30"/>
      <c r="F107" s="30"/>
    </row>
    <row r="108" spans="3:8" ht="30.5" customHeight="1" x14ac:dyDescent="0.15">
      <c r="C108" s="39"/>
      <c r="E108" s="30"/>
      <c r="F108" s="30"/>
    </row>
    <row r="109" spans="3:8" x14ac:dyDescent="0.15">
      <c r="C109" s="17"/>
      <c r="D109" s="30"/>
      <c r="E109" s="30"/>
      <c r="F109" s="30"/>
    </row>
    <row r="110" spans="3:8" x14ac:dyDescent="0.15">
      <c r="C110" s="17"/>
      <c r="D110" s="30"/>
      <c r="E110" s="30"/>
      <c r="F110" s="30"/>
    </row>
    <row r="111" spans="3:8" x14ac:dyDescent="0.15">
      <c r="C111" s="17"/>
      <c r="D111" s="30"/>
      <c r="E111" s="30"/>
      <c r="F111" s="30"/>
    </row>
    <row r="112" spans="3:8" x14ac:dyDescent="0.15">
      <c r="C112" s="17"/>
      <c r="D112" s="30"/>
      <c r="E112" s="30"/>
      <c r="F112" s="30"/>
    </row>
  </sheetData>
  <mergeCells count="2">
    <mergeCell ref="F2:H2"/>
    <mergeCell ref="K2:N2"/>
  </mergeCells>
  <pageMargins left="0.7" right="0.7" top="0.75" bottom="0.75" header="0.3" footer="0.3"/>
  <pageSetup paperSize="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O91"/>
  <sheetViews>
    <sheetView zoomScaleNormal="100" workbookViewId="0">
      <pane ySplit="5" topLeftCell="A6" activePane="bottomLeft" state="frozen"/>
      <selection activeCell="B1" sqref="B1"/>
      <selection pane="bottomLeft" activeCell="B1" sqref="B1:C1"/>
    </sheetView>
  </sheetViews>
  <sheetFormatPr baseColWidth="10" defaultColWidth="16.6640625" defaultRowHeight="15" x14ac:dyDescent="0.2"/>
  <cols>
    <col min="1" max="1" width="16.6640625" customWidth="1"/>
    <col min="2" max="2" width="16.6640625" style="311"/>
    <col min="3" max="3" width="15.5" customWidth="1"/>
    <col min="4" max="4" width="16.6640625" customWidth="1"/>
    <col min="5" max="5" width="15.5" customWidth="1"/>
    <col min="6" max="6" width="3.5" customWidth="1"/>
    <col min="7" max="7" width="16.6640625" hidden="1" customWidth="1"/>
    <col min="8" max="8" width="13.1640625" hidden="1" customWidth="1"/>
    <col min="9" max="9" width="14.1640625" style="312" customWidth="1"/>
    <col min="10" max="10" width="13.6640625" style="312" customWidth="1"/>
    <col min="11" max="11" width="11" style="14" customWidth="1"/>
    <col min="12" max="12" width="3.6640625" customWidth="1"/>
    <col min="13" max="13" width="22.5" customWidth="1"/>
    <col min="14" max="14" width="14.5" customWidth="1"/>
    <col min="15" max="15" width="15.33203125" customWidth="1"/>
    <col min="16" max="16" width="3.6640625" customWidth="1"/>
    <col min="17" max="17" width="18.6640625" hidden="1" customWidth="1"/>
    <col min="18" max="18" width="3.6640625" hidden="1" customWidth="1"/>
    <col min="19" max="21" width="12.5" hidden="1" customWidth="1"/>
    <col min="22" max="22" width="14" hidden="1" customWidth="1"/>
    <col min="23" max="23" width="12.5" hidden="1" customWidth="1"/>
    <col min="24" max="24" width="6.1640625" customWidth="1"/>
    <col min="25" max="25" width="1" customWidth="1"/>
    <col min="26" max="26" width="15.1640625" style="207" customWidth="1"/>
    <col min="27" max="30" width="16.6640625" customWidth="1"/>
  </cols>
  <sheetData>
    <row r="1" spans="1:249" x14ac:dyDescent="0.2">
      <c r="A1" s="197"/>
      <c r="B1" s="337" t="s">
        <v>647</v>
      </c>
      <c r="C1" s="337"/>
      <c r="D1" s="198"/>
      <c r="E1" s="198"/>
      <c r="F1" s="198"/>
      <c r="G1" s="198"/>
      <c r="H1" s="198"/>
      <c r="I1" s="199"/>
      <c r="J1" s="199"/>
      <c r="K1" s="200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201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  <c r="HW1" s="197"/>
      <c r="HX1" s="197"/>
      <c r="HY1" s="197"/>
      <c r="HZ1" s="197"/>
      <c r="IA1" s="197"/>
      <c r="IB1" s="197"/>
      <c r="IC1" s="197"/>
      <c r="ID1" s="197"/>
      <c r="IE1" s="197"/>
      <c r="IF1" s="197"/>
      <c r="IG1" s="197"/>
      <c r="IH1" s="197"/>
      <c r="II1" s="197"/>
      <c r="IJ1" s="197"/>
      <c r="IK1" s="197"/>
      <c r="IL1" s="197"/>
      <c r="IM1" s="197"/>
      <c r="IN1" s="197"/>
      <c r="IO1" s="197"/>
    </row>
    <row r="2" spans="1:249" ht="16" thickBot="1" x14ac:dyDescent="0.25">
      <c r="A2" s="165"/>
      <c r="B2" s="202"/>
      <c r="C2" s="165"/>
      <c r="E2" s="203"/>
      <c r="F2" s="203"/>
      <c r="G2" s="203"/>
      <c r="H2" s="204"/>
      <c r="I2" s="205"/>
      <c r="J2" s="205"/>
      <c r="K2" s="206"/>
    </row>
    <row r="3" spans="1:249" ht="16" thickBot="1" x14ac:dyDescent="0.25">
      <c r="A3" s="208"/>
      <c r="B3" s="209"/>
      <c r="C3" s="210"/>
      <c r="D3" s="211"/>
      <c r="E3" s="212"/>
      <c r="F3" s="213"/>
      <c r="G3" s="213"/>
      <c r="H3" s="214"/>
      <c r="I3" s="338" t="s">
        <v>12</v>
      </c>
      <c r="J3" s="339"/>
      <c r="K3" s="340"/>
      <c r="L3" s="215"/>
      <c r="M3" s="341" t="s">
        <v>13</v>
      </c>
      <c r="N3" s="342"/>
      <c r="O3" s="343"/>
      <c r="Q3" s="133" t="s">
        <v>11</v>
      </c>
      <c r="S3" t="s">
        <v>690</v>
      </c>
      <c r="T3" s="330" t="s">
        <v>646</v>
      </c>
      <c r="U3" s="331"/>
      <c r="V3" s="332"/>
      <c r="W3" s="216"/>
      <c r="Z3" s="217" t="s">
        <v>14</v>
      </c>
    </row>
    <row r="4" spans="1:249" x14ac:dyDescent="0.2">
      <c r="A4" s="218" t="s">
        <v>15</v>
      </c>
      <c r="B4" s="219" t="s">
        <v>16</v>
      </c>
      <c r="C4" s="218" t="s">
        <v>17</v>
      </c>
      <c r="D4" s="220"/>
      <c r="E4" s="218" t="s">
        <v>18</v>
      </c>
      <c r="F4" s="221"/>
      <c r="G4" s="222" t="s">
        <v>19</v>
      </c>
      <c r="H4" s="213"/>
      <c r="I4" s="333" t="s">
        <v>20</v>
      </c>
      <c r="J4" s="223" t="s">
        <v>18</v>
      </c>
      <c r="K4" s="224"/>
      <c r="L4" s="225"/>
      <c r="M4" s="335" t="s">
        <v>20</v>
      </c>
      <c r="N4" s="226" t="s">
        <v>18</v>
      </c>
      <c r="O4" s="227"/>
      <c r="P4" s="228"/>
      <c r="Q4" s="229">
        <v>45291</v>
      </c>
      <c r="R4" s="216"/>
      <c r="S4" s="216"/>
      <c r="T4" s="230"/>
      <c r="U4" s="230"/>
      <c r="V4" s="230"/>
      <c r="W4" s="216"/>
      <c r="Z4" s="231"/>
    </row>
    <row r="5" spans="1:249" ht="16" thickBot="1" x14ac:dyDescent="0.25">
      <c r="A5" s="232"/>
      <c r="B5" s="233"/>
      <c r="C5" s="234">
        <v>44896</v>
      </c>
      <c r="D5" s="235" t="s">
        <v>20</v>
      </c>
      <c r="E5" s="236" t="s">
        <v>21</v>
      </c>
      <c r="F5" s="237"/>
      <c r="G5" s="238" t="s">
        <v>21</v>
      </c>
      <c r="H5" s="239"/>
      <c r="I5" s="334"/>
      <c r="J5" s="240" t="s">
        <v>21</v>
      </c>
      <c r="K5" s="241"/>
      <c r="L5" s="133"/>
      <c r="M5" s="336"/>
      <c r="N5" s="242" t="s">
        <v>21</v>
      </c>
      <c r="O5" s="243"/>
      <c r="Q5" s="216" t="s">
        <v>554</v>
      </c>
      <c r="R5" s="216"/>
      <c r="S5" s="244"/>
      <c r="T5" s="244"/>
      <c r="U5" s="244"/>
      <c r="V5" s="244"/>
      <c r="W5" s="244"/>
      <c r="Z5" s="245">
        <v>45535</v>
      </c>
    </row>
    <row r="6" spans="1:249" ht="16" thickBot="1" x14ac:dyDescent="0.25">
      <c r="A6" s="246">
        <v>0</v>
      </c>
      <c r="B6" s="247" t="s">
        <v>22</v>
      </c>
      <c r="C6" s="248">
        <v>13</v>
      </c>
      <c r="D6" s="15">
        <v>650</v>
      </c>
      <c r="E6" s="249">
        <v>150</v>
      </c>
      <c r="F6" s="250"/>
      <c r="G6" s="251"/>
      <c r="H6" s="252"/>
      <c r="I6" s="253">
        <v>650</v>
      </c>
      <c r="J6" s="254">
        <v>150</v>
      </c>
      <c r="K6" s="255"/>
      <c r="L6" s="256"/>
      <c r="M6" s="257">
        <f t="shared" ref="M6:M37" si="0">D6-I6</f>
        <v>0</v>
      </c>
      <c r="N6" s="257">
        <f t="shared" ref="N6:N37" si="1">E6-J6</f>
        <v>0</v>
      </c>
      <c r="O6" s="257"/>
      <c r="P6" s="14"/>
      <c r="Q6" s="14"/>
      <c r="R6" s="14"/>
      <c r="S6" s="14"/>
      <c r="T6" s="14"/>
      <c r="U6" s="14"/>
      <c r="V6" s="14"/>
      <c r="W6" s="14"/>
      <c r="X6" s="14"/>
      <c r="Y6" s="14"/>
      <c r="Z6" s="258">
        <f>M6+N6+Q6+V6</f>
        <v>0</v>
      </c>
      <c r="AC6" s="166"/>
      <c r="AD6" s="166"/>
      <c r="AE6" s="166"/>
      <c r="AF6" s="166"/>
    </row>
    <row r="7" spans="1:249" ht="16" thickBot="1" x14ac:dyDescent="0.25">
      <c r="A7" s="259">
        <v>5882</v>
      </c>
      <c r="B7" s="260" t="s">
        <v>23</v>
      </c>
      <c r="C7" s="248">
        <v>13</v>
      </c>
      <c r="D7" s="15">
        <v>650</v>
      </c>
      <c r="E7" s="261">
        <v>65</v>
      </c>
      <c r="F7" s="262"/>
      <c r="G7" s="263"/>
      <c r="H7" s="264"/>
      <c r="I7" s="253">
        <v>650</v>
      </c>
      <c r="J7" s="265"/>
      <c r="K7" s="266"/>
      <c r="L7" s="256"/>
      <c r="M7" s="257">
        <f t="shared" si="0"/>
        <v>0</v>
      </c>
      <c r="N7" s="257">
        <f t="shared" si="1"/>
        <v>65</v>
      </c>
      <c r="O7" s="257"/>
      <c r="P7" s="14"/>
      <c r="Q7" s="130">
        <v>535</v>
      </c>
      <c r="R7" s="14"/>
      <c r="S7" s="14"/>
      <c r="T7" s="14">
        <v>-600</v>
      </c>
      <c r="U7" s="14"/>
      <c r="V7" s="14"/>
      <c r="W7" s="14"/>
      <c r="X7" s="14"/>
      <c r="Y7" s="14"/>
      <c r="Z7" s="258">
        <f>M7+N7+Q7+T7+U7+V7</f>
        <v>0</v>
      </c>
      <c r="AC7" s="166"/>
      <c r="AD7" s="166"/>
      <c r="AE7" s="166"/>
      <c r="AF7" s="166"/>
    </row>
    <row r="8" spans="1:249" ht="16" thickBot="1" x14ac:dyDescent="0.25">
      <c r="A8" s="259"/>
      <c r="B8" s="260" t="s">
        <v>546</v>
      </c>
      <c r="C8" s="248">
        <v>42</v>
      </c>
      <c r="D8" s="15">
        <v>2100</v>
      </c>
      <c r="E8" s="261">
        <v>210</v>
      </c>
      <c r="F8" s="262"/>
      <c r="G8" s="263"/>
      <c r="H8" s="264"/>
      <c r="I8" s="253">
        <v>1550</v>
      </c>
      <c r="J8" s="265"/>
      <c r="K8" s="266"/>
      <c r="L8" s="256"/>
      <c r="M8" s="257">
        <f t="shared" si="0"/>
        <v>550</v>
      </c>
      <c r="N8" s="257">
        <f t="shared" si="1"/>
        <v>210</v>
      </c>
      <c r="O8" s="257"/>
      <c r="P8" s="14"/>
      <c r="Q8" s="14"/>
      <c r="R8" s="14"/>
      <c r="S8" s="14"/>
      <c r="T8" s="14"/>
      <c r="U8" s="14"/>
      <c r="V8" s="14"/>
      <c r="W8" s="14"/>
      <c r="X8" s="14"/>
      <c r="Y8" s="14"/>
      <c r="Z8" s="258">
        <f t="shared" ref="Z8:Z59" si="2">M8+N8+Q8+T8+U8+V8</f>
        <v>760</v>
      </c>
      <c r="AC8" s="133"/>
      <c r="AD8" s="143"/>
      <c r="AE8" s="144"/>
      <c r="AF8" s="145"/>
    </row>
    <row r="9" spans="1:249" ht="16" thickBot="1" x14ac:dyDescent="0.25">
      <c r="A9" s="259">
        <v>5884</v>
      </c>
      <c r="B9" s="260" t="s">
        <v>24</v>
      </c>
      <c r="C9" s="248">
        <v>0</v>
      </c>
      <c r="D9" s="15"/>
      <c r="E9" s="261"/>
      <c r="F9" s="262"/>
      <c r="G9" s="263"/>
      <c r="H9" s="264"/>
      <c r="I9" s="267"/>
      <c r="J9" s="268"/>
      <c r="K9" s="266"/>
      <c r="L9" s="256"/>
      <c r="M9" s="257">
        <f t="shared" si="0"/>
        <v>0</v>
      </c>
      <c r="N9" s="257">
        <f t="shared" si="1"/>
        <v>0</v>
      </c>
      <c r="O9" s="257"/>
      <c r="P9" s="14"/>
      <c r="Q9" s="14"/>
      <c r="R9" s="14"/>
      <c r="S9" s="14"/>
      <c r="T9" s="14"/>
      <c r="U9" s="14"/>
      <c r="V9" s="14"/>
      <c r="W9" s="14"/>
      <c r="X9" s="14"/>
      <c r="Y9" s="14"/>
      <c r="Z9" s="258">
        <f t="shared" si="2"/>
        <v>0</v>
      </c>
      <c r="AC9" s="133"/>
      <c r="AD9" s="143"/>
      <c r="AE9" s="144"/>
      <c r="AF9" s="145"/>
    </row>
    <row r="10" spans="1:249" ht="16" thickBot="1" x14ac:dyDescent="0.25">
      <c r="A10" s="259">
        <v>5886</v>
      </c>
      <c r="B10" s="260" t="s">
        <v>25</v>
      </c>
      <c r="C10" s="248">
        <v>111</v>
      </c>
      <c r="D10" s="16">
        <v>5550</v>
      </c>
      <c r="E10" s="261">
        <v>5200</v>
      </c>
      <c r="F10" s="262"/>
      <c r="G10" s="263"/>
      <c r="H10" s="264"/>
      <c r="I10" s="267">
        <v>3213</v>
      </c>
      <c r="J10" s="268">
        <v>2184</v>
      </c>
      <c r="K10" s="258"/>
      <c r="L10" s="256"/>
      <c r="M10" s="257">
        <f t="shared" si="0"/>
        <v>2337</v>
      </c>
      <c r="N10" s="257">
        <f t="shared" si="1"/>
        <v>3016</v>
      </c>
      <c r="O10" s="257"/>
      <c r="P10" s="14"/>
      <c r="Q10" s="14"/>
      <c r="R10" s="14"/>
      <c r="S10" s="14"/>
      <c r="T10" s="14"/>
      <c r="U10" s="14"/>
      <c r="V10" s="14"/>
      <c r="X10" s="14"/>
      <c r="Y10" s="14"/>
      <c r="Z10" s="258">
        <f t="shared" si="2"/>
        <v>5353</v>
      </c>
      <c r="AC10" s="133"/>
      <c r="AD10" s="143"/>
      <c r="AE10" s="144"/>
      <c r="AF10" s="145"/>
    </row>
    <row r="11" spans="1:249" s="207" customFormat="1" ht="14.5" customHeight="1" thickBot="1" x14ac:dyDescent="0.25">
      <c r="A11" s="269">
        <v>5888</v>
      </c>
      <c r="B11" s="270" t="s">
        <v>26</v>
      </c>
      <c r="C11" s="271">
        <v>89</v>
      </c>
      <c r="D11" s="18">
        <v>4450</v>
      </c>
      <c r="E11" s="272">
        <v>655</v>
      </c>
      <c r="F11" s="273"/>
      <c r="G11" s="274"/>
      <c r="H11" s="275"/>
      <c r="I11" s="267">
        <v>1900</v>
      </c>
      <c r="J11" s="268">
        <v>650</v>
      </c>
      <c r="K11" s="258"/>
      <c r="L11" s="276"/>
      <c r="M11" s="257">
        <f t="shared" si="0"/>
        <v>2550</v>
      </c>
      <c r="N11" s="257">
        <f t="shared" si="1"/>
        <v>5</v>
      </c>
      <c r="O11" s="257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258">
        <f t="shared" si="2"/>
        <v>2555</v>
      </c>
      <c r="AB11"/>
      <c r="AC11" s="133"/>
      <c r="AD11" s="143"/>
      <c r="AE11" s="144"/>
      <c r="AF11" s="145"/>
    </row>
    <row r="12" spans="1:249" ht="16" thickBot="1" x14ac:dyDescent="0.25">
      <c r="A12" s="259">
        <v>5889</v>
      </c>
      <c r="B12" s="260" t="s">
        <v>27</v>
      </c>
      <c r="C12" s="248">
        <v>22</v>
      </c>
      <c r="D12" s="277">
        <v>1100</v>
      </c>
      <c r="E12" s="261">
        <v>220</v>
      </c>
      <c r="F12" s="262"/>
      <c r="G12" s="263"/>
      <c r="H12" s="264"/>
      <c r="I12" s="253"/>
      <c r="J12" s="265"/>
      <c r="K12" s="266"/>
      <c r="L12" s="256"/>
      <c r="M12" s="257">
        <f t="shared" si="0"/>
        <v>1100</v>
      </c>
      <c r="N12" s="257">
        <f t="shared" si="1"/>
        <v>220</v>
      </c>
      <c r="O12" s="257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258">
        <f t="shared" si="2"/>
        <v>1320</v>
      </c>
      <c r="AC12" s="133"/>
      <c r="AD12" s="143"/>
      <c r="AE12" s="144"/>
      <c r="AF12" s="145"/>
    </row>
    <row r="13" spans="1:249" s="207" customFormat="1" ht="16" thickBot="1" x14ac:dyDescent="0.25">
      <c r="A13" s="269">
        <v>5494</v>
      </c>
      <c r="B13" s="270" t="s">
        <v>28</v>
      </c>
      <c r="C13" s="271">
        <v>136</v>
      </c>
      <c r="D13" s="18">
        <v>6800</v>
      </c>
      <c r="E13" s="272">
        <v>27755</v>
      </c>
      <c r="F13" s="273"/>
      <c r="G13" s="274"/>
      <c r="H13" s="275"/>
      <c r="I13" s="267">
        <v>6800</v>
      </c>
      <c r="J13" s="268">
        <v>19491</v>
      </c>
      <c r="K13" s="258"/>
      <c r="L13" s="276"/>
      <c r="M13" s="278">
        <f t="shared" si="0"/>
        <v>0</v>
      </c>
      <c r="N13" s="278">
        <f t="shared" si="1"/>
        <v>8264</v>
      </c>
      <c r="O13" s="278"/>
      <c r="P13" s="130"/>
      <c r="Q13" s="130">
        <v>2250</v>
      </c>
      <c r="R13" s="130"/>
      <c r="S13" s="130"/>
      <c r="T13" s="130">
        <v>-2250</v>
      </c>
      <c r="U13" s="130"/>
      <c r="V13" s="130"/>
      <c r="W13" s="130"/>
      <c r="X13" s="130"/>
      <c r="Y13" s="130"/>
      <c r="Z13" s="258">
        <f t="shared" si="2"/>
        <v>8264</v>
      </c>
      <c r="AB13"/>
      <c r="AC13" s="133"/>
      <c r="AD13" s="143"/>
      <c r="AE13" s="144"/>
      <c r="AF13" s="145"/>
    </row>
    <row r="14" spans="1:249" s="207" customFormat="1" ht="16" thickBot="1" x14ac:dyDescent="0.25">
      <c r="A14" s="269">
        <v>5893</v>
      </c>
      <c r="B14" s="270" t="s">
        <v>29</v>
      </c>
      <c r="C14" s="271">
        <v>17</v>
      </c>
      <c r="D14" s="18">
        <v>850</v>
      </c>
      <c r="E14" s="272">
        <v>250</v>
      </c>
      <c r="F14" s="273"/>
      <c r="G14" s="274"/>
      <c r="H14" s="275"/>
      <c r="I14" s="267"/>
      <c r="J14" s="268"/>
      <c r="K14" s="258"/>
      <c r="L14" s="276"/>
      <c r="M14" s="278">
        <f t="shared" si="0"/>
        <v>850</v>
      </c>
      <c r="N14" s="278">
        <f t="shared" si="1"/>
        <v>250</v>
      </c>
      <c r="O14" s="278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258">
        <f t="shared" si="2"/>
        <v>1100</v>
      </c>
      <c r="AB14"/>
      <c r="AC14" s="133"/>
      <c r="AD14" s="143"/>
      <c r="AE14" s="144"/>
      <c r="AF14" s="145"/>
    </row>
    <row r="15" spans="1:249" ht="16" thickBot="1" x14ac:dyDescent="0.25">
      <c r="A15" s="259">
        <v>5894</v>
      </c>
      <c r="B15" s="260" t="s">
        <v>30</v>
      </c>
      <c r="C15" s="248">
        <v>30</v>
      </c>
      <c r="D15" s="15">
        <v>1500</v>
      </c>
      <c r="E15" s="261">
        <v>605</v>
      </c>
      <c r="F15" s="262"/>
      <c r="G15" s="263"/>
      <c r="H15" s="264"/>
      <c r="I15" s="253">
        <v>1500</v>
      </c>
      <c r="J15" s="265">
        <v>600</v>
      </c>
      <c r="K15" s="266"/>
      <c r="L15" s="256"/>
      <c r="M15" s="257">
        <f t="shared" si="0"/>
        <v>0</v>
      </c>
      <c r="N15" s="257">
        <f t="shared" si="1"/>
        <v>5</v>
      </c>
      <c r="O15" s="257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258">
        <f t="shared" si="2"/>
        <v>5</v>
      </c>
      <c r="AC15" s="133"/>
      <c r="AD15" s="143"/>
      <c r="AE15" s="144"/>
      <c r="AF15" s="145"/>
    </row>
    <row r="16" spans="1:249" ht="16" thickBot="1" x14ac:dyDescent="0.25">
      <c r="A16" s="259">
        <v>4125</v>
      </c>
      <c r="B16" s="260" t="s">
        <v>31</v>
      </c>
      <c r="C16" s="248">
        <v>89</v>
      </c>
      <c r="D16" s="16">
        <v>4450</v>
      </c>
      <c r="E16" s="261">
        <v>800</v>
      </c>
      <c r="F16" s="262"/>
      <c r="G16" s="263"/>
      <c r="H16" s="264"/>
      <c r="I16" s="253">
        <v>4450</v>
      </c>
      <c r="J16" s="265"/>
      <c r="K16" s="266"/>
      <c r="L16" s="256"/>
      <c r="M16" s="257">
        <f t="shared" si="0"/>
        <v>0</v>
      </c>
      <c r="N16" s="257">
        <f t="shared" si="1"/>
        <v>800</v>
      </c>
      <c r="O16" s="257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258">
        <f t="shared" si="2"/>
        <v>800</v>
      </c>
      <c r="AC16" s="133"/>
      <c r="AD16" s="143"/>
      <c r="AE16" s="144"/>
      <c r="AF16" s="145"/>
    </row>
    <row r="17" spans="1:32" ht="16" thickBot="1" x14ac:dyDescent="0.25">
      <c r="A17" s="259">
        <v>5497</v>
      </c>
      <c r="B17" s="260" t="s">
        <v>652</v>
      </c>
      <c r="C17" s="248">
        <v>12</v>
      </c>
      <c r="D17" s="16">
        <v>600</v>
      </c>
      <c r="E17" s="261">
        <v>75</v>
      </c>
      <c r="F17" s="262"/>
      <c r="G17" s="263"/>
      <c r="H17" s="264"/>
      <c r="I17" s="253">
        <v>600</v>
      </c>
      <c r="J17" s="265">
        <v>75</v>
      </c>
      <c r="K17" s="266"/>
      <c r="L17" s="256"/>
      <c r="M17" s="257">
        <f t="shared" si="0"/>
        <v>0</v>
      </c>
      <c r="N17" s="257">
        <f t="shared" si="1"/>
        <v>0</v>
      </c>
      <c r="O17" s="257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258">
        <f t="shared" si="2"/>
        <v>0</v>
      </c>
      <c r="AA17" s="207"/>
      <c r="AC17" s="133"/>
      <c r="AD17" s="143"/>
      <c r="AE17" s="144"/>
      <c r="AF17" s="145"/>
    </row>
    <row r="18" spans="1:32" s="207" customFormat="1" ht="15.5" customHeight="1" thickBot="1" x14ac:dyDescent="0.25">
      <c r="A18" s="269">
        <v>5899</v>
      </c>
      <c r="B18" s="270" t="s">
        <v>32</v>
      </c>
      <c r="C18" s="271">
        <v>155</v>
      </c>
      <c r="D18" s="16">
        <v>7750</v>
      </c>
      <c r="E18" s="272">
        <v>6565</v>
      </c>
      <c r="F18" s="273"/>
      <c r="G18" s="274"/>
      <c r="H18" s="275"/>
      <c r="I18" s="267">
        <v>3875</v>
      </c>
      <c r="J18" s="268">
        <v>3267</v>
      </c>
      <c r="K18" s="258"/>
      <c r="L18" s="276"/>
      <c r="M18" s="278">
        <f t="shared" si="0"/>
        <v>3875</v>
      </c>
      <c r="N18" s="278">
        <f t="shared" si="1"/>
        <v>3298</v>
      </c>
      <c r="O18" s="278"/>
      <c r="P18" s="130"/>
      <c r="Q18" s="130"/>
      <c r="R18" s="130"/>
      <c r="S18" s="130"/>
      <c r="U18" s="130"/>
      <c r="V18" s="130"/>
      <c r="W18" s="130"/>
      <c r="X18" s="130"/>
      <c r="Y18" s="130"/>
      <c r="Z18" s="258">
        <f t="shared" si="2"/>
        <v>7173</v>
      </c>
      <c r="AB18"/>
      <c r="AC18" s="133"/>
      <c r="AD18" s="143"/>
      <c r="AE18" s="144"/>
      <c r="AF18" s="145"/>
    </row>
    <row r="19" spans="1:32" s="207" customFormat="1" ht="16" thickBot="1" x14ac:dyDescent="0.25">
      <c r="A19" s="269">
        <v>5902</v>
      </c>
      <c r="B19" s="270" t="s">
        <v>33</v>
      </c>
      <c r="C19" s="271">
        <v>117</v>
      </c>
      <c r="D19" s="18">
        <v>5850</v>
      </c>
      <c r="E19" s="272">
        <v>3105</v>
      </c>
      <c r="F19" s="273"/>
      <c r="G19" s="274"/>
      <c r="H19" s="275"/>
      <c r="I19" s="267">
        <v>2925</v>
      </c>
      <c r="J19" s="268">
        <v>2330</v>
      </c>
      <c r="K19" s="258"/>
      <c r="L19" s="276"/>
      <c r="M19" s="278">
        <f t="shared" si="0"/>
        <v>2925</v>
      </c>
      <c r="N19" s="278">
        <f t="shared" si="1"/>
        <v>775</v>
      </c>
      <c r="O19" s="278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258">
        <f t="shared" si="2"/>
        <v>3700</v>
      </c>
      <c r="AB19"/>
      <c r="AC19" s="133"/>
      <c r="AD19" s="143"/>
      <c r="AE19" s="144"/>
      <c r="AF19" s="145"/>
    </row>
    <row r="20" spans="1:32" s="207" customFormat="1" ht="16" thickBot="1" x14ac:dyDescent="0.25">
      <c r="A20" s="269">
        <v>11105</v>
      </c>
      <c r="B20" s="270" t="s">
        <v>34</v>
      </c>
      <c r="C20" s="271">
        <v>335</v>
      </c>
      <c r="D20" s="16">
        <v>16750</v>
      </c>
      <c r="E20" s="272">
        <v>26980</v>
      </c>
      <c r="F20" s="273"/>
      <c r="G20" s="274"/>
      <c r="H20" s="275"/>
      <c r="I20" s="267">
        <v>12562.5</v>
      </c>
      <c r="J20" s="268">
        <v>13488.5</v>
      </c>
      <c r="K20" s="258"/>
      <c r="L20" s="276"/>
      <c r="M20" s="278">
        <f t="shared" si="0"/>
        <v>4187.5</v>
      </c>
      <c r="N20" s="278">
        <f t="shared" si="1"/>
        <v>13491.5</v>
      </c>
      <c r="O20" s="278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258">
        <f t="shared" si="2"/>
        <v>17679</v>
      </c>
      <c r="AB20"/>
      <c r="AC20" s="133"/>
      <c r="AD20" s="143"/>
      <c r="AE20" s="144"/>
      <c r="AF20" s="145"/>
    </row>
    <row r="21" spans="1:32" ht="16" thickBot="1" x14ac:dyDescent="0.25">
      <c r="A21" s="259"/>
      <c r="B21" s="260" t="s">
        <v>35</v>
      </c>
      <c r="C21" s="248">
        <v>0</v>
      </c>
      <c r="D21" s="16"/>
      <c r="E21" s="261"/>
      <c r="F21" s="262"/>
      <c r="G21" s="263"/>
      <c r="H21" s="264"/>
      <c r="I21" s="253"/>
      <c r="J21" s="265"/>
      <c r="K21" s="266"/>
      <c r="L21" s="256"/>
      <c r="M21" s="257">
        <f t="shared" si="0"/>
        <v>0</v>
      </c>
      <c r="N21" s="257">
        <f t="shared" si="1"/>
        <v>0</v>
      </c>
      <c r="O21" s="257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258">
        <f t="shared" si="2"/>
        <v>0</v>
      </c>
      <c r="AC21" s="133"/>
      <c r="AD21" s="143"/>
      <c r="AE21" s="144"/>
      <c r="AF21" s="145"/>
    </row>
    <row r="22" spans="1:32" s="207" customFormat="1" ht="16" thickBot="1" x14ac:dyDescent="0.25">
      <c r="A22" s="269">
        <v>5905</v>
      </c>
      <c r="B22" s="270" t="s">
        <v>36</v>
      </c>
      <c r="C22" s="271">
        <v>97</v>
      </c>
      <c r="D22" s="16">
        <v>4850</v>
      </c>
      <c r="E22" s="272">
        <v>970</v>
      </c>
      <c r="F22" s="273"/>
      <c r="G22" s="274"/>
      <c r="H22" s="275"/>
      <c r="I22" s="267"/>
      <c r="J22" s="268"/>
      <c r="K22" s="258"/>
      <c r="L22" s="276"/>
      <c r="M22" s="278">
        <f t="shared" si="0"/>
        <v>4850</v>
      </c>
      <c r="N22" s="278">
        <f t="shared" si="1"/>
        <v>970</v>
      </c>
      <c r="O22" s="278"/>
      <c r="Q22" s="130"/>
      <c r="R22" s="130"/>
      <c r="S22" s="130"/>
      <c r="T22" s="130"/>
      <c r="U22" s="130"/>
      <c r="V22" s="130"/>
      <c r="W22" s="130"/>
      <c r="X22" s="130"/>
      <c r="Y22" s="130"/>
      <c r="Z22" s="258">
        <f t="shared" si="2"/>
        <v>5820</v>
      </c>
      <c r="AB22"/>
      <c r="AC22" s="133"/>
      <c r="AD22" s="143"/>
      <c r="AE22" s="144"/>
      <c r="AF22" s="145"/>
    </row>
    <row r="23" spans="1:32" s="207" customFormat="1" ht="16" thickBot="1" x14ac:dyDescent="0.25">
      <c r="A23" s="269">
        <v>9335</v>
      </c>
      <c r="B23" s="270" t="s">
        <v>37</v>
      </c>
      <c r="C23" s="271">
        <v>92</v>
      </c>
      <c r="D23" s="18">
        <v>4600</v>
      </c>
      <c r="E23" s="272">
        <v>4645</v>
      </c>
      <c r="F23" s="273"/>
      <c r="G23" s="274"/>
      <c r="H23" s="275"/>
      <c r="I23" s="267">
        <v>3066.64</v>
      </c>
      <c r="J23" s="268">
        <v>3333.36</v>
      </c>
      <c r="K23" s="258"/>
      <c r="L23" s="276"/>
      <c r="M23" s="278">
        <f t="shared" si="0"/>
        <v>1533.3600000000001</v>
      </c>
      <c r="N23" s="278">
        <f t="shared" si="1"/>
        <v>1311.6399999999999</v>
      </c>
      <c r="O23" s="278"/>
      <c r="P23" s="130"/>
      <c r="Q23" s="130"/>
      <c r="R23" s="130"/>
      <c r="S23" s="130"/>
      <c r="T23" s="130"/>
      <c r="U23" s="130"/>
      <c r="V23" s="130"/>
      <c r="W23" s="130"/>
      <c r="X23" s="130"/>
      <c r="Z23" s="258">
        <f t="shared" si="2"/>
        <v>2845</v>
      </c>
      <c r="AC23" s="216"/>
      <c r="AD23" s="154"/>
      <c r="AE23" s="155"/>
      <c r="AF23" s="156"/>
    </row>
    <row r="24" spans="1:32" s="207" customFormat="1" ht="16" thickBot="1" x14ac:dyDescent="0.25">
      <c r="A24" s="269">
        <v>5908</v>
      </c>
      <c r="B24" s="270" t="s">
        <v>38</v>
      </c>
      <c r="C24" s="271">
        <v>93</v>
      </c>
      <c r="D24" s="16">
        <v>4650</v>
      </c>
      <c r="E24" s="272">
        <v>2680</v>
      </c>
      <c r="F24" s="273"/>
      <c r="G24" s="274"/>
      <c r="H24" s="275"/>
      <c r="I24" s="267">
        <v>2712.43</v>
      </c>
      <c r="J24" s="268">
        <v>1563.38</v>
      </c>
      <c r="K24" s="258"/>
      <c r="L24" s="276"/>
      <c r="M24" s="278">
        <f t="shared" si="0"/>
        <v>1937.5700000000002</v>
      </c>
      <c r="N24" s="278">
        <f t="shared" si="1"/>
        <v>1116.6199999999999</v>
      </c>
      <c r="O24" s="278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258">
        <f t="shared" si="2"/>
        <v>3054.19</v>
      </c>
      <c r="AB24"/>
      <c r="AC24" s="133"/>
      <c r="AD24" s="143"/>
      <c r="AE24" s="144"/>
      <c r="AF24" s="145"/>
    </row>
    <row r="25" spans="1:32" ht="16" thickBot="1" x14ac:dyDescent="0.25">
      <c r="A25" s="259">
        <v>5909</v>
      </c>
      <c r="B25" s="260" t="s">
        <v>39</v>
      </c>
      <c r="C25" s="248">
        <v>10</v>
      </c>
      <c r="D25" s="16">
        <v>500</v>
      </c>
      <c r="E25" s="261">
        <v>262.5</v>
      </c>
      <c r="F25" s="262"/>
      <c r="G25" s="263"/>
      <c r="H25" s="264"/>
      <c r="I25" s="253">
        <v>425</v>
      </c>
      <c r="J25" s="265">
        <v>200</v>
      </c>
      <c r="K25" s="266"/>
      <c r="L25" s="256"/>
      <c r="M25" s="257">
        <f t="shared" si="0"/>
        <v>75</v>
      </c>
      <c r="N25" s="257">
        <f t="shared" si="1"/>
        <v>62.5</v>
      </c>
      <c r="O25" s="257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258">
        <f t="shared" si="2"/>
        <v>137.5</v>
      </c>
      <c r="AC25" s="133"/>
      <c r="AD25" s="143"/>
      <c r="AE25" s="144"/>
      <c r="AF25" s="145"/>
    </row>
    <row r="26" spans="1:32" s="207" customFormat="1" ht="16" thickBot="1" x14ac:dyDescent="0.25">
      <c r="A26" s="269">
        <v>5508</v>
      </c>
      <c r="B26" s="270" t="s">
        <v>40</v>
      </c>
      <c r="C26" s="271">
        <v>43</v>
      </c>
      <c r="D26" s="16">
        <v>2150</v>
      </c>
      <c r="E26" s="272">
        <v>505</v>
      </c>
      <c r="F26" s="273"/>
      <c r="G26" s="274"/>
      <c r="H26" s="275"/>
      <c r="I26" s="267">
        <v>2150</v>
      </c>
      <c r="J26" s="268">
        <v>500</v>
      </c>
      <c r="K26" s="258"/>
      <c r="L26" s="276"/>
      <c r="M26" s="278">
        <f t="shared" si="0"/>
        <v>0</v>
      </c>
      <c r="N26" s="278">
        <f t="shared" si="1"/>
        <v>5</v>
      </c>
      <c r="O26" s="278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258">
        <f t="shared" si="2"/>
        <v>5</v>
      </c>
      <c r="AB26"/>
      <c r="AC26" s="133"/>
      <c r="AD26" s="143"/>
      <c r="AE26" s="144"/>
      <c r="AF26" s="145"/>
    </row>
    <row r="27" spans="1:32" s="207" customFormat="1" ht="16" thickBot="1" x14ac:dyDescent="0.25">
      <c r="A27" s="269">
        <v>5411</v>
      </c>
      <c r="B27" s="270" t="s">
        <v>41</v>
      </c>
      <c r="C27" s="271">
        <v>230</v>
      </c>
      <c r="D27" s="16">
        <v>11500</v>
      </c>
      <c r="E27" s="272">
        <v>11135</v>
      </c>
      <c r="F27" s="273"/>
      <c r="G27" s="274"/>
      <c r="H27" s="275"/>
      <c r="I27" s="267"/>
      <c r="J27" s="268"/>
      <c r="K27" s="258"/>
      <c r="L27" s="276"/>
      <c r="M27" s="278">
        <f t="shared" si="0"/>
        <v>11500</v>
      </c>
      <c r="N27" s="278">
        <f t="shared" si="1"/>
        <v>11135</v>
      </c>
      <c r="O27" s="278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258">
        <f t="shared" si="2"/>
        <v>22635</v>
      </c>
      <c r="AB27"/>
      <c r="AC27" s="133"/>
      <c r="AD27" s="143"/>
      <c r="AE27" s="144"/>
      <c r="AF27" s="145"/>
    </row>
    <row r="28" spans="1:32" ht="16" thickBot="1" x14ac:dyDescent="0.25">
      <c r="A28" s="259">
        <v>5910</v>
      </c>
      <c r="B28" s="260" t="s">
        <v>42</v>
      </c>
      <c r="C28" s="248">
        <v>17</v>
      </c>
      <c r="D28" s="16">
        <v>850</v>
      </c>
      <c r="E28" s="261">
        <v>85</v>
      </c>
      <c r="F28" s="262"/>
      <c r="G28" s="263"/>
      <c r="H28" s="264"/>
      <c r="I28" s="253">
        <v>850</v>
      </c>
      <c r="J28" s="265"/>
      <c r="K28" s="266"/>
      <c r="L28" s="256"/>
      <c r="M28" s="257">
        <f t="shared" si="0"/>
        <v>0</v>
      </c>
      <c r="N28" s="257">
        <f t="shared" si="1"/>
        <v>85</v>
      </c>
      <c r="O28" s="257"/>
      <c r="P28" s="14"/>
      <c r="Q28" s="14">
        <v>850</v>
      </c>
      <c r="R28" s="14"/>
      <c r="S28" s="14"/>
      <c r="T28" s="14">
        <v>-850</v>
      </c>
      <c r="U28" s="14"/>
      <c r="V28" s="14"/>
      <c r="W28" s="14"/>
      <c r="X28" s="14"/>
      <c r="Y28" s="14"/>
      <c r="Z28" s="258">
        <f t="shared" si="2"/>
        <v>85</v>
      </c>
      <c r="AC28" s="133"/>
      <c r="AD28" s="143"/>
      <c r="AE28" s="144"/>
      <c r="AF28" s="145"/>
    </row>
    <row r="29" spans="1:32" ht="16" thickBot="1" x14ac:dyDescent="0.25">
      <c r="A29" s="259">
        <v>5496</v>
      </c>
      <c r="B29" s="260" t="s">
        <v>43</v>
      </c>
      <c r="C29" s="248">
        <v>34</v>
      </c>
      <c r="D29" s="16">
        <v>1700</v>
      </c>
      <c r="E29" s="261"/>
      <c r="F29" s="262"/>
      <c r="G29" s="263"/>
      <c r="H29" s="264"/>
      <c r="I29" s="253"/>
      <c r="J29" s="265"/>
      <c r="K29" s="266"/>
      <c r="L29" s="256"/>
      <c r="M29" s="257">
        <f t="shared" si="0"/>
        <v>1700</v>
      </c>
      <c r="N29" s="257">
        <f t="shared" si="1"/>
        <v>0</v>
      </c>
      <c r="O29" s="257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258">
        <f t="shared" si="2"/>
        <v>1700</v>
      </c>
      <c r="AC29" s="133"/>
      <c r="AD29" s="143"/>
      <c r="AE29" s="144"/>
      <c r="AF29" s="145"/>
    </row>
    <row r="30" spans="1:32" ht="16" thickBot="1" x14ac:dyDescent="0.25">
      <c r="A30" s="259">
        <v>5503</v>
      </c>
      <c r="B30" s="260" t="s">
        <v>44</v>
      </c>
      <c r="C30" s="248">
        <v>48</v>
      </c>
      <c r="D30" s="16">
        <v>2400</v>
      </c>
      <c r="E30" s="261">
        <v>0</v>
      </c>
      <c r="F30" s="262"/>
      <c r="G30" s="263"/>
      <c r="H30" s="264"/>
      <c r="I30" s="253">
        <v>2400</v>
      </c>
      <c r="J30" s="265"/>
      <c r="K30" s="266"/>
      <c r="L30" s="256"/>
      <c r="M30" s="257">
        <f t="shared" si="0"/>
        <v>0</v>
      </c>
      <c r="N30" s="257">
        <f t="shared" si="1"/>
        <v>0</v>
      </c>
      <c r="O30" s="257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258">
        <f t="shared" si="2"/>
        <v>0</v>
      </c>
      <c r="AC30" s="133"/>
      <c r="AD30" s="143"/>
      <c r="AE30" s="144"/>
      <c r="AF30" s="145"/>
    </row>
    <row r="31" spans="1:32" ht="16" thickBot="1" x14ac:dyDescent="0.25">
      <c r="A31" s="259">
        <v>5504</v>
      </c>
      <c r="B31" s="260" t="s">
        <v>45</v>
      </c>
      <c r="C31" s="248">
        <v>31</v>
      </c>
      <c r="D31" s="16">
        <v>1550</v>
      </c>
      <c r="E31" s="261">
        <v>500</v>
      </c>
      <c r="F31" s="262"/>
      <c r="G31" s="263"/>
      <c r="H31" s="264"/>
      <c r="I31" s="253"/>
      <c r="J31" s="265">
        <v>500</v>
      </c>
      <c r="K31" s="266"/>
      <c r="L31" s="256"/>
      <c r="M31" s="257">
        <f t="shared" si="0"/>
        <v>1550</v>
      </c>
      <c r="N31" s="257">
        <f t="shared" si="1"/>
        <v>0</v>
      </c>
      <c r="O31" s="257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258">
        <f t="shared" si="2"/>
        <v>1550</v>
      </c>
      <c r="AC31" s="133"/>
      <c r="AD31" s="143"/>
      <c r="AE31" s="144"/>
      <c r="AF31" s="145"/>
    </row>
    <row r="32" spans="1:32" s="207" customFormat="1" ht="16" thickBot="1" x14ac:dyDescent="0.25">
      <c r="A32" s="269">
        <v>5493</v>
      </c>
      <c r="B32" s="270" t="s">
        <v>674</v>
      </c>
      <c r="C32" s="271">
        <v>40</v>
      </c>
      <c r="D32" s="18">
        <v>2000</v>
      </c>
      <c r="E32" s="272">
        <v>200</v>
      </c>
      <c r="F32" s="273"/>
      <c r="G32" s="274"/>
      <c r="H32" s="275"/>
      <c r="I32" s="267"/>
      <c r="J32" s="268"/>
      <c r="K32" s="258"/>
      <c r="L32" s="276"/>
      <c r="M32" s="278">
        <f>D32-I32</f>
        <v>2000</v>
      </c>
      <c r="N32" s="278">
        <f>E32-J32</f>
        <v>200</v>
      </c>
      <c r="O32" s="278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258">
        <f>M32+N32+Q32+T32+U32+V32</f>
        <v>2200</v>
      </c>
      <c r="AC32" s="216"/>
      <c r="AD32" s="154"/>
      <c r="AE32" s="155"/>
      <c r="AF32" s="156"/>
    </row>
    <row r="33" spans="1:32" s="207" customFormat="1" ht="16" thickBot="1" x14ac:dyDescent="0.25">
      <c r="A33" s="269">
        <v>5917</v>
      </c>
      <c r="B33" s="270" t="s">
        <v>46</v>
      </c>
      <c r="C33" s="271">
        <v>11</v>
      </c>
      <c r="D33" s="18">
        <v>550</v>
      </c>
      <c r="E33" s="272">
        <v>1900</v>
      </c>
      <c r="F33" s="273"/>
      <c r="G33" s="274"/>
      <c r="H33" s="275"/>
      <c r="I33" s="267">
        <v>550</v>
      </c>
      <c r="J33" s="268">
        <v>1000</v>
      </c>
      <c r="K33" s="258"/>
      <c r="L33" s="276"/>
      <c r="M33" s="278">
        <f t="shared" si="0"/>
        <v>0</v>
      </c>
      <c r="N33" s="278">
        <f t="shared" si="1"/>
        <v>900</v>
      </c>
      <c r="O33" s="278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258">
        <f t="shared" si="2"/>
        <v>900</v>
      </c>
      <c r="AB33"/>
      <c r="AC33" s="133"/>
      <c r="AD33" s="143"/>
      <c r="AE33" s="144"/>
      <c r="AF33" s="145"/>
    </row>
    <row r="34" spans="1:32" ht="16" thickBot="1" x14ac:dyDescent="0.25">
      <c r="A34" s="259"/>
      <c r="B34" s="260" t="s">
        <v>480</v>
      </c>
      <c r="C34" s="248">
        <v>51</v>
      </c>
      <c r="D34" s="16">
        <v>2550</v>
      </c>
      <c r="E34" s="261">
        <v>255</v>
      </c>
      <c r="F34" s="262"/>
      <c r="G34" s="263"/>
      <c r="H34" s="264"/>
      <c r="I34" s="253"/>
      <c r="J34" s="265"/>
      <c r="K34" s="266"/>
      <c r="L34" s="256"/>
      <c r="M34" s="257">
        <f t="shared" si="0"/>
        <v>2550</v>
      </c>
      <c r="N34" s="257">
        <f t="shared" si="1"/>
        <v>255</v>
      </c>
      <c r="O34" s="257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58">
        <f t="shared" si="2"/>
        <v>2805</v>
      </c>
      <c r="AC34" s="133"/>
      <c r="AD34" s="143"/>
      <c r="AE34" s="144"/>
      <c r="AF34" s="145"/>
    </row>
    <row r="35" spans="1:32" s="207" customFormat="1" ht="16" thickBot="1" x14ac:dyDescent="0.25">
      <c r="A35" s="269">
        <v>5506</v>
      </c>
      <c r="B35" s="270" t="s">
        <v>47</v>
      </c>
      <c r="C35" s="271">
        <v>137</v>
      </c>
      <c r="D35" s="18">
        <v>6850</v>
      </c>
      <c r="E35" s="272">
        <v>3520</v>
      </c>
      <c r="F35" s="273"/>
      <c r="G35" s="274"/>
      <c r="H35" s="275"/>
      <c r="I35" s="267">
        <v>1700</v>
      </c>
      <c r="J35" s="268">
        <v>2500</v>
      </c>
      <c r="K35" s="258"/>
      <c r="L35" s="276"/>
      <c r="M35" s="278">
        <f t="shared" si="0"/>
        <v>5150</v>
      </c>
      <c r="N35" s="278">
        <f t="shared" si="1"/>
        <v>1020</v>
      </c>
      <c r="O35" s="278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258">
        <f t="shared" si="2"/>
        <v>6170</v>
      </c>
      <c r="AB35"/>
      <c r="AC35" s="133"/>
      <c r="AD35" s="143"/>
      <c r="AE35" s="144"/>
      <c r="AF35" s="145"/>
    </row>
    <row r="36" spans="1:32" ht="16" thickBot="1" x14ac:dyDescent="0.25">
      <c r="A36" s="259">
        <v>5509</v>
      </c>
      <c r="B36" s="260" t="s">
        <v>48</v>
      </c>
      <c r="C36" s="248">
        <v>26</v>
      </c>
      <c r="D36" s="16">
        <v>1300</v>
      </c>
      <c r="E36" s="261">
        <v>355</v>
      </c>
      <c r="F36" s="262"/>
      <c r="G36" s="263"/>
      <c r="H36" s="264"/>
      <c r="I36" s="253">
        <v>1300</v>
      </c>
      <c r="J36" s="265">
        <v>350</v>
      </c>
      <c r="K36" s="266"/>
      <c r="L36" s="256"/>
      <c r="M36" s="257">
        <f t="shared" si="0"/>
        <v>0</v>
      </c>
      <c r="N36" s="257">
        <f t="shared" si="1"/>
        <v>5</v>
      </c>
      <c r="O36" s="257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258">
        <f t="shared" si="2"/>
        <v>5</v>
      </c>
      <c r="AC36" s="133"/>
      <c r="AD36" s="143"/>
      <c r="AE36" s="144"/>
      <c r="AF36" s="145"/>
    </row>
    <row r="37" spans="1:32" s="207" customFormat="1" ht="16" thickBot="1" x14ac:dyDescent="0.25">
      <c r="A37" s="269">
        <v>5510</v>
      </c>
      <c r="B37" s="270" t="s">
        <v>49</v>
      </c>
      <c r="C37" s="271">
        <v>47</v>
      </c>
      <c r="D37" s="16">
        <v>2350</v>
      </c>
      <c r="E37" s="272">
        <v>1850</v>
      </c>
      <c r="F37" s="273"/>
      <c r="G37" s="274"/>
      <c r="H37" s="275"/>
      <c r="I37" s="267">
        <v>1225</v>
      </c>
      <c r="J37" s="268">
        <v>923.5</v>
      </c>
      <c r="K37" s="258"/>
      <c r="L37" s="276"/>
      <c r="M37" s="278">
        <f t="shared" si="0"/>
        <v>1125</v>
      </c>
      <c r="N37" s="278">
        <f t="shared" si="1"/>
        <v>926.5</v>
      </c>
      <c r="O37" s="278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258">
        <f t="shared" si="2"/>
        <v>2051.5</v>
      </c>
      <c r="AB37"/>
      <c r="AC37" s="133"/>
      <c r="AD37" s="143"/>
      <c r="AE37" s="144"/>
      <c r="AF37" s="145"/>
    </row>
    <row r="38" spans="1:32" s="207" customFormat="1" ht="16" thickBot="1" x14ac:dyDescent="0.25">
      <c r="A38" s="269">
        <v>5511</v>
      </c>
      <c r="B38" s="270" t="s">
        <v>50</v>
      </c>
      <c r="C38" s="271">
        <v>186</v>
      </c>
      <c r="D38" s="16">
        <v>4500</v>
      </c>
      <c r="E38" s="272">
        <v>954</v>
      </c>
      <c r="F38" s="273"/>
      <c r="G38" s="274"/>
      <c r="H38" s="275"/>
      <c r="I38" s="267">
        <v>4500</v>
      </c>
      <c r="J38" s="268">
        <v>954</v>
      </c>
      <c r="K38" s="258"/>
      <c r="L38" s="276"/>
      <c r="M38" s="278">
        <f t="shared" ref="M38:M56" si="3">D38-I38</f>
        <v>0</v>
      </c>
      <c r="N38" s="278">
        <f t="shared" ref="N38:N56" si="4">E38-J38</f>
        <v>0</v>
      </c>
      <c r="O38" s="278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258">
        <f t="shared" si="2"/>
        <v>0</v>
      </c>
      <c r="AB38"/>
      <c r="AC38" s="133"/>
      <c r="AD38" s="143"/>
      <c r="AE38" s="144"/>
      <c r="AF38" s="145"/>
    </row>
    <row r="39" spans="1:32" ht="16" thickBot="1" x14ac:dyDescent="0.25">
      <c r="A39" s="259">
        <v>5911</v>
      </c>
      <c r="B39" s="260" t="s">
        <v>51</v>
      </c>
      <c r="C39" s="248">
        <v>41</v>
      </c>
      <c r="D39" s="16">
        <v>2050</v>
      </c>
      <c r="E39" s="261">
        <v>2705</v>
      </c>
      <c r="F39" s="262"/>
      <c r="G39" s="263"/>
      <c r="H39" s="264"/>
      <c r="I39" s="253">
        <v>2050</v>
      </c>
      <c r="J39" s="265"/>
      <c r="K39" s="266"/>
      <c r="L39" s="256"/>
      <c r="M39" s="257">
        <f t="shared" si="3"/>
        <v>0</v>
      </c>
      <c r="N39" s="257">
        <f t="shared" si="4"/>
        <v>2705</v>
      </c>
      <c r="O39" s="257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258">
        <f t="shared" si="2"/>
        <v>2705</v>
      </c>
      <c r="AC39" s="133"/>
      <c r="AD39" s="143"/>
      <c r="AE39" s="144"/>
      <c r="AF39" s="145"/>
    </row>
    <row r="40" spans="1:32" s="207" customFormat="1" ht="16" thickBot="1" x14ac:dyDescent="0.25">
      <c r="A40" s="269">
        <v>5512</v>
      </c>
      <c r="B40" s="270" t="s">
        <v>675</v>
      </c>
      <c r="C40" s="271">
        <v>86</v>
      </c>
      <c r="D40" s="16">
        <v>4300</v>
      </c>
      <c r="E40" s="272">
        <v>2540</v>
      </c>
      <c r="F40" s="273"/>
      <c r="G40" s="274"/>
      <c r="H40" s="275"/>
      <c r="I40" s="267">
        <v>2150</v>
      </c>
      <c r="J40" s="268">
        <v>1267.5</v>
      </c>
      <c r="K40" s="258"/>
      <c r="L40" s="276"/>
      <c r="M40" s="278">
        <f t="shared" si="3"/>
        <v>2150</v>
      </c>
      <c r="N40" s="278">
        <f t="shared" si="4"/>
        <v>1272.5</v>
      </c>
      <c r="O40" s="278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258">
        <f t="shared" si="2"/>
        <v>3422.5</v>
      </c>
      <c r="AB40"/>
      <c r="AC40" s="133"/>
      <c r="AD40" s="143"/>
      <c r="AE40" s="144"/>
      <c r="AF40" s="145"/>
    </row>
    <row r="41" spans="1:32" ht="16" thickBot="1" x14ac:dyDescent="0.25">
      <c r="A41" s="259">
        <v>5513</v>
      </c>
      <c r="B41" s="260" t="s">
        <v>52</v>
      </c>
      <c r="C41" s="248">
        <v>119</v>
      </c>
      <c r="D41" s="16">
        <v>5950</v>
      </c>
      <c r="E41" s="261">
        <v>6115</v>
      </c>
      <c r="F41" s="262"/>
      <c r="G41" s="263"/>
      <c r="H41" s="264"/>
      <c r="I41" s="253">
        <v>6050</v>
      </c>
      <c r="J41" s="268">
        <v>6110</v>
      </c>
      <c r="K41" s="266"/>
      <c r="L41" s="256"/>
      <c r="M41" s="257">
        <f t="shared" si="3"/>
        <v>-100</v>
      </c>
      <c r="N41" s="257">
        <f t="shared" si="4"/>
        <v>5</v>
      </c>
      <c r="O41" s="257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258">
        <f t="shared" si="2"/>
        <v>-95</v>
      </c>
      <c r="AC41" s="133"/>
      <c r="AD41" s="143"/>
      <c r="AE41" s="144"/>
      <c r="AF41" s="145"/>
    </row>
    <row r="42" spans="1:32" s="207" customFormat="1" ht="16" thickBot="1" x14ac:dyDescent="0.25">
      <c r="A42" s="269">
        <v>10301</v>
      </c>
      <c r="B42" s="270" t="s">
        <v>53</v>
      </c>
      <c r="C42" s="271">
        <v>75</v>
      </c>
      <c r="D42" s="16">
        <v>3750</v>
      </c>
      <c r="E42" s="272">
        <v>0</v>
      </c>
      <c r="F42" s="273"/>
      <c r="G42" s="274"/>
      <c r="H42" s="275"/>
      <c r="I42" s="267">
        <v>1410</v>
      </c>
      <c r="J42" s="268"/>
      <c r="K42" s="258"/>
      <c r="L42" s="276"/>
      <c r="M42" s="278">
        <f t="shared" si="3"/>
        <v>2340</v>
      </c>
      <c r="N42" s="278">
        <f t="shared" si="4"/>
        <v>0</v>
      </c>
      <c r="O42" s="278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258">
        <f t="shared" si="2"/>
        <v>2340</v>
      </c>
      <c r="AB42"/>
      <c r="AC42" s="133"/>
      <c r="AD42" s="143"/>
      <c r="AE42" s="144"/>
      <c r="AF42" s="145"/>
    </row>
    <row r="43" spans="1:32" ht="16" thickBot="1" x14ac:dyDescent="0.25">
      <c r="A43" s="259">
        <v>5912</v>
      </c>
      <c r="B43" s="260" t="s">
        <v>54</v>
      </c>
      <c r="C43" s="248">
        <v>14</v>
      </c>
      <c r="D43" s="16">
        <v>700</v>
      </c>
      <c r="E43" s="261">
        <v>140</v>
      </c>
      <c r="F43" s="262"/>
      <c r="G43" s="263"/>
      <c r="H43" s="264"/>
      <c r="I43" s="253"/>
      <c r="J43" s="265"/>
      <c r="K43" s="266"/>
      <c r="L43" s="256"/>
      <c r="M43" s="257">
        <f t="shared" si="3"/>
        <v>700</v>
      </c>
      <c r="N43" s="257">
        <f t="shared" si="4"/>
        <v>140</v>
      </c>
      <c r="O43" s="257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258">
        <f t="shared" si="2"/>
        <v>840</v>
      </c>
      <c r="AC43" s="133"/>
      <c r="AD43" s="143"/>
      <c r="AE43" s="144"/>
      <c r="AF43" s="145"/>
    </row>
    <row r="44" spans="1:32" s="207" customFormat="1" ht="16" thickBot="1" x14ac:dyDescent="0.25">
      <c r="A44" s="269">
        <v>5913</v>
      </c>
      <c r="B44" s="270" t="s">
        <v>55</v>
      </c>
      <c r="C44" s="271">
        <v>41</v>
      </c>
      <c r="D44" s="16">
        <v>2050</v>
      </c>
      <c r="E44" s="272">
        <v>6310</v>
      </c>
      <c r="F44" s="273"/>
      <c r="G44" s="274"/>
      <c r="H44" s="275"/>
      <c r="I44" s="267">
        <v>1150</v>
      </c>
      <c r="J44" s="268">
        <v>3154</v>
      </c>
      <c r="K44" s="258"/>
      <c r="L44" s="276"/>
      <c r="M44" s="278">
        <f t="shared" si="3"/>
        <v>900</v>
      </c>
      <c r="N44" s="278">
        <f t="shared" si="4"/>
        <v>3156</v>
      </c>
      <c r="O44" s="278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258">
        <f t="shared" si="2"/>
        <v>4056</v>
      </c>
      <c r="AB44"/>
      <c r="AC44" s="133"/>
      <c r="AD44" s="143"/>
      <c r="AE44" s="144"/>
      <c r="AF44" s="145"/>
    </row>
    <row r="45" spans="1:32" ht="16" thickBot="1" x14ac:dyDescent="0.25">
      <c r="A45" s="259"/>
      <c r="B45" s="260" t="s">
        <v>607</v>
      </c>
      <c r="C45" s="248">
        <v>12</v>
      </c>
      <c r="D45" s="16">
        <v>600</v>
      </c>
      <c r="E45" s="261">
        <v>60</v>
      </c>
      <c r="F45" s="262"/>
      <c r="G45" s="263"/>
      <c r="H45" s="264"/>
      <c r="I45" s="253"/>
      <c r="J45" s="265"/>
      <c r="K45" s="266"/>
      <c r="L45" s="256"/>
      <c r="M45" s="278">
        <f t="shared" si="3"/>
        <v>600</v>
      </c>
      <c r="N45" s="278">
        <f t="shared" si="4"/>
        <v>60</v>
      </c>
      <c r="O45" s="278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258">
        <f t="shared" si="2"/>
        <v>660</v>
      </c>
      <c r="AC45" s="133"/>
      <c r="AD45" s="143"/>
      <c r="AE45" s="144"/>
      <c r="AF45" s="145"/>
    </row>
    <row r="46" spans="1:32" s="207" customFormat="1" ht="16" thickBot="1" x14ac:dyDescent="0.25">
      <c r="A46" s="269">
        <v>5914</v>
      </c>
      <c r="B46" s="270" t="s">
        <v>56</v>
      </c>
      <c r="C46" s="271">
        <v>28</v>
      </c>
      <c r="D46" s="16">
        <v>1400</v>
      </c>
      <c r="E46" s="272">
        <v>3810</v>
      </c>
      <c r="F46" s="273"/>
      <c r="G46" s="274"/>
      <c r="H46" s="275"/>
      <c r="I46" s="267"/>
      <c r="J46" s="268"/>
      <c r="K46" s="258"/>
      <c r="L46" s="276"/>
      <c r="M46" s="278">
        <f t="shared" si="3"/>
        <v>1400</v>
      </c>
      <c r="N46" s="278">
        <f t="shared" si="4"/>
        <v>3810</v>
      </c>
      <c r="O46" s="278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258">
        <f t="shared" si="2"/>
        <v>5210</v>
      </c>
      <c r="AB46"/>
      <c r="AC46" s="133"/>
      <c r="AD46" s="143"/>
      <c r="AE46" s="144"/>
      <c r="AF46" s="145"/>
    </row>
    <row r="47" spans="1:32" s="207" customFormat="1" ht="16" thickBot="1" x14ac:dyDescent="0.25">
      <c r="A47" s="269">
        <v>5523</v>
      </c>
      <c r="B47" s="270" t="s">
        <v>57</v>
      </c>
      <c r="C47" s="271">
        <v>42</v>
      </c>
      <c r="D47" s="16">
        <v>2100</v>
      </c>
      <c r="E47" s="272">
        <v>260</v>
      </c>
      <c r="F47" s="273"/>
      <c r="G47" s="274"/>
      <c r="H47" s="275"/>
      <c r="I47" s="267">
        <v>1575</v>
      </c>
      <c r="J47" s="268"/>
      <c r="K47" s="258"/>
      <c r="L47" s="276"/>
      <c r="M47" s="278">
        <f t="shared" si="3"/>
        <v>525</v>
      </c>
      <c r="N47" s="278">
        <f t="shared" si="4"/>
        <v>260</v>
      </c>
      <c r="O47" s="278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258">
        <f t="shared" si="2"/>
        <v>785</v>
      </c>
      <c r="AB47"/>
      <c r="AC47" s="133"/>
      <c r="AD47" s="143"/>
      <c r="AE47" s="144"/>
      <c r="AF47" s="145"/>
    </row>
    <row r="48" spans="1:32" s="207" customFormat="1" ht="16" thickBot="1" x14ac:dyDescent="0.25">
      <c r="A48" s="269">
        <v>5518</v>
      </c>
      <c r="B48" s="270" t="s">
        <v>58</v>
      </c>
      <c r="C48" s="271">
        <v>59</v>
      </c>
      <c r="D48" s="16">
        <v>2950</v>
      </c>
      <c r="E48" s="272">
        <v>5505</v>
      </c>
      <c r="F48" s="273"/>
      <c r="G48" s="274"/>
      <c r="H48" s="275"/>
      <c r="I48" s="267">
        <v>1966.64</v>
      </c>
      <c r="J48" s="268">
        <v>3700</v>
      </c>
      <c r="K48" s="258"/>
      <c r="L48" s="276"/>
      <c r="M48" s="278">
        <f t="shared" si="3"/>
        <v>983.3599999999999</v>
      </c>
      <c r="N48" s="278">
        <f t="shared" si="4"/>
        <v>1805</v>
      </c>
      <c r="O48" s="278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258">
        <f t="shared" si="2"/>
        <v>2788.3599999999997</v>
      </c>
      <c r="AB48"/>
      <c r="AC48" s="133"/>
      <c r="AD48" s="143"/>
      <c r="AE48" s="144"/>
      <c r="AF48" s="145"/>
    </row>
    <row r="49" spans="1:32" ht="16" thickBot="1" x14ac:dyDescent="0.25">
      <c r="A49" s="259">
        <v>5520</v>
      </c>
      <c r="B49" s="260" t="s">
        <v>59</v>
      </c>
      <c r="C49" s="248">
        <v>22</v>
      </c>
      <c r="D49" s="16">
        <v>1100</v>
      </c>
      <c r="E49" s="261">
        <v>110</v>
      </c>
      <c r="F49" s="262"/>
      <c r="G49" s="263"/>
      <c r="H49" s="264"/>
      <c r="I49" s="253"/>
      <c r="J49" s="265"/>
      <c r="K49" s="266"/>
      <c r="L49" s="256"/>
      <c r="M49" s="257">
        <f t="shared" si="3"/>
        <v>1100</v>
      </c>
      <c r="N49" s="257">
        <f t="shared" si="4"/>
        <v>110</v>
      </c>
      <c r="O49" s="257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258">
        <f t="shared" si="2"/>
        <v>1210</v>
      </c>
      <c r="AC49" s="133"/>
      <c r="AD49" s="143"/>
      <c r="AE49" s="144"/>
      <c r="AF49" s="145"/>
    </row>
    <row r="50" spans="1:32" ht="16" thickBot="1" x14ac:dyDescent="0.25">
      <c r="A50" s="259">
        <v>5521</v>
      </c>
      <c r="B50" s="260" t="s">
        <v>60</v>
      </c>
      <c r="C50" s="248">
        <v>157</v>
      </c>
      <c r="D50" s="16">
        <v>8050</v>
      </c>
      <c r="E50" s="261"/>
      <c r="F50" s="262"/>
      <c r="G50" s="263"/>
      <c r="H50" s="264"/>
      <c r="I50" s="253">
        <v>4025</v>
      </c>
      <c r="J50" s="265"/>
      <c r="K50" s="266"/>
      <c r="L50" s="256"/>
      <c r="M50" s="257">
        <f t="shared" si="3"/>
        <v>4025</v>
      </c>
      <c r="N50" s="257">
        <f t="shared" si="4"/>
        <v>0</v>
      </c>
      <c r="O50" s="257"/>
      <c r="P50" s="14"/>
      <c r="Q50" s="14">
        <v>2012.5</v>
      </c>
      <c r="R50" s="14"/>
      <c r="S50" s="14"/>
      <c r="T50" s="14">
        <v>-2012.5</v>
      </c>
      <c r="U50" s="14"/>
      <c r="V50" s="14"/>
      <c r="W50" s="14"/>
      <c r="X50" s="14"/>
      <c r="Y50" s="14"/>
      <c r="Z50" s="258">
        <f t="shared" si="2"/>
        <v>4025</v>
      </c>
      <c r="AC50" s="133"/>
      <c r="AD50" s="143"/>
      <c r="AE50" s="144"/>
      <c r="AF50" s="145"/>
    </row>
    <row r="51" spans="1:32" s="207" customFormat="1" ht="16" thickBot="1" x14ac:dyDescent="0.25">
      <c r="A51" s="269">
        <v>5915</v>
      </c>
      <c r="B51" s="270" t="s">
        <v>61</v>
      </c>
      <c r="C51" s="271">
        <v>38</v>
      </c>
      <c r="D51" s="16">
        <v>1900</v>
      </c>
      <c r="E51" s="272">
        <v>1505</v>
      </c>
      <c r="F51" s="273"/>
      <c r="G51" s="274"/>
      <c r="H51" s="275"/>
      <c r="I51" s="267">
        <v>1266.96</v>
      </c>
      <c r="J51" s="268">
        <v>1000</v>
      </c>
      <c r="K51" s="258"/>
      <c r="L51" s="276"/>
      <c r="M51" s="278">
        <f t="shared" si="3"/>
        <v>633.04</v>
      </c>
      <c r="N51" s="278">
        <f t="shared" si="4"/>
        <v>505</v>
      </c>
      <c r="O51" s="278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258">
        <f t="shared" si="2"/>
        <v>1138.04</v>
      </c>
      <c r="AB51"/>
      <c r="AC51" s="133"/>
      <c r="AD51" s="143"/>
      <c r="AE51" s="144"/>
      <c r="AF51" s="145"/>
    </row>
    <row r="52" spans="1:32" s="207" customFormat="1" ht="16" thickBot="1" x14ac:dyDescent="0.25">
      <c r="A52" s="269">
        <v>5524</v>
      </c>
      <c r="B52" s="270" t="s">
        <v>62</v>
      </c>
      <c r="C52" s="271">
        <v>79</v>
      </c>
      <c r="D52" s="16">
        <v>3950</v>
      </c>
      <c r="E52" s="272">
        <v>4405</v>
      </c>
      <c r="F52" s="273"/>
      <c r="G52" s="274"/>
      <c r="H52" s="275"/>
      <c r="I52" s="267">
        <v>2568</v>
      </c>
      <c r="J52" s="268">
        <v>2936</v>
      </c>
      <c r="K52" s="258"/>
      <c r="L52" s="276"/>
      <c r="M52" s="278">
        <f t="shared" si="3"/>
        <v>1382</v>
      </c>
      <c r="N52" s="278">
        <f t="shared" si="4"/>
        <v>1469</v>
      </c>
      <c r="O52" s="278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258">
        <f t="shared" si="2"/>
        <v>2851</v>
      </c>
      <c r="AB52"/>
      <c r="AC52" s="133"/>
      <c r="AD52" s="143"/>
      <c r="AE52" s="144"/>
      <c r="AF52" s="145"/>
    </row>
    <row r="53" spans="1:32" s="207" customFormat="1" ht="16" thickBot="1" x14ac:dyDescent="0.25">
      <c r="A53" s="269">
        <v>5525</v>
      </c>
      <c r="B53" s="270" t="s">
        <v>63</v>
      </c>
      <c r="C53" s="271">
        <v>66</v>
      </c>
      <c r="D53" s="16">
        <v>3300</v>
      </c>
      <c r="E53" s="272">
        <v>660</v>
      </c>
      <c r="F53" s="273"/>
      <c r="G53" s="274"/>
      <c r="H53" s="275"/>
      <c r="I53" s="267">
        <v>1000</v>
      </c>
      <c r="J53" s="268"/>
      <c r="K53" s="258"/>
      <c r="L53" s="276"/>
      <c r="M53" s="278">
        <f t="shared" si="3"/>
        <v>2300</v>
      </c>
      <c r="N53" s="278">
        <f t="shared" si="4"/>
        <v>660</v>
      </c>
      <c r="O53" s="278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258">
        <f t="shared" si="2"/>
        <v>2960</v>
      </c>
      <c r="AB53"/>
      <c r="AC53" s="133"/>
      <c r="AD53" s="143"/>
      <c r="AE53" s="144"/>
      <c r="AF53" s="145"/>
    </row>
    <row r="54" spans="1:32" ht="16" thickBot="1" x14ac:dyDescent="0.25">
      <c r="A54" s="259">
        <v>5916</v>
      </c>
      <c r="B54" s="260" t="s">
        <v>64</v>
      </c>
      <c r="C54" s="248">
        <v>132</v>
      </c>
      <c r="D54" s="16">
        <v>6600</v>
      </c>
      <c r="E54" s="261">
        <v>7030</v>
      </c>
      <c r="F54" s="262"/>
      <c r="G54" s="263"/>
      <c r="H54" s="264"/>
      <c r="I54" s="253">
        <v>6500</v>
      </c>
      <c r="J54" s="265">
        <v>7025</v>
      </c>
      <c r="K54" s="266"/>
      <c r="L54" s="256"/>
      <c r="M54" s="257">
        <f t="shared" si="3"/>
        <v>100</v>
      </c>
      <c r="N54" s="257">
        <f t="shared" si="4"/>
        <v>5</v>
      </c>
      <c r="O54" s="257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258">
        <f t="shared" si="2"/>
        <v>105</v>
      </c>
      <c r="AC54" s="133"/>
      <c r="AD54" s="143"/>
      <c r="AE54" s="144"/>
      <c r="AF54" s="145"/>
    </row>
    <row r="55" spans="1:32" s="207" customFormat="1" ht="16" thickBot="1" x14ac:dyDescent="0.25">
      <c r="A55" s="269"/>
      <c r="B55" s="270" t="s">
        <v>478</v>
      </c>
      <c r="C55" s="271">
        <v>22</v>
      </c>
      <c r="D55" s="16">
        <v>1100</v>
      </c>
      <c r="E55" s="272">
        <v>1635</v>
      </c>
      <c r="F55" s="273"/>
      <c r="G55" s="274"/>
      <c r="H55" s="275"/>
      <c r="I55" s="267">
        <v>937.5</v>
      </c>
      <c r="J55" s="268">
        <v>1260</v>
      </c>
      <c r="K55" s="258"/>
      <c r="L55" s="276"/>
      <c r="M55" s="278">
        <f t="shared" si="3"/>
        <v>162.5</v>
      </c>
      <c r="N55" s="257">
        <f t="shared" si="4"/>
        <v>375</v>
      </c>
      <c r="O55" s="278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258">
        <f t="shared" si="2"/>
        <v>537.5</v>
      </c>
      <c r="AB55"/>
      <c r="AC55" s="133"/>
      <c r="AD55" s="143"/>
      <c r="AE55" s="144"/>
      <c r="AF55" s="145"/>
    </row>
    <row r="56" spans="1:32" s="207" customFormat="1" ht="16" thickBot="1" x14ac:dyDescent="0.25">
      <c r="A56" s="269"/>
      <c r="B56" s="270" t="s">
        <v>479</v>
      </c>
      <c r="C56" s="271">
        <v>67</v>
      </c>
      <c r="D56" s="16">
        <v>3350</v>
      </c>
      <c r="E56" s="272">
        <v>1105</v>
      </c>
      <c r="F56" s="273"/>
      <c r="G56" s="274"/>
      <c r="H56" s="275"/>
      <c r="I56" s="267">
        <v>2950</v>
      </c>
      <c r="J56" s="268">
        <v>1105</v>
      </c>
      <c r="K56" s="258"/>
      <c r="L56" s="276"/>
      <c r="M56" s="278">
        <f t="shared" si="3"/>
        <v>400</v>
      </c>
      <c r="N56" s="257">
        <f t="shared" si="4"/>
        <v>0</v>
      </c>
      <c r="O56" s="278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258">
        <f t="shared" si="2"/>
        <v>400</v>
      </c>
      <c r="AB56"/>
      <c r="AC56" s="133"/>
      <c r="AD56" s="143"/>
      <c r="AE56" s="144"/>
      <c r="AF56" s="145"/>
    </row>
    <row r="57" spans="1:32" s="207" customFormat="1" ht="16" thickBot="1" x14ac:dyDescent="0.25">
      <c r="A57" s="269"/>
      <c r="B57" s="270" t="s">
        <v>689</v>
      </c>
      <c r="C57" s="271"/>
      <c r="D57" s="16"/>
      <c r="E57" s="272"/>
      <c r="F57" s="273"/>
      <c r="G57" s="274"/>
      <c r="H57" s="275"/>
      <c r="I57" s="267"/>
      <c r="J57" s="268"/>
      <c r="K57" s="258"/>
      <c r="L57" s="276"/>
      <c r="M57" s="278"/>
      <c r="N57" s="278"/>
      <c r="O57" s="278"/>
      <c r="P57" s="130"/>
      <c r="Q57" s="130"/>
      <c r="R57" s="130"/>
      <c r="S57" s="130">
        <v>8650</v>
      </c>
      <c r="T57" s="130"/>
      <c r="U57" s="130"/>
      <c r="V57" s="130"/>
      <c r="W57" s="130"/>
      <c r="X57" s="130"/>
      <c r="Y57" s="130"/>
      <c r="Z57" s="258">
        <f>SUM(S57:X57)</f>
        <v>8650</v>
      </c>
      <c r="AB57"/>
      <c r="AC57" s="133"/>
      <c r="AD57" s="143"/>
      <c r="AE57" s="144"/>
      <c r="AF57" s="145"/>
    </row>
    <row r="58" spans="1:32" ht="16" thickBot="1" x14ac:dyDescent="0.25">
      <c r="A58" s="279"/>
      <c r="B58" s="280"/>
      <c r="C58" s="281"/>
      <c r="D58" s="16"/>
      <c r="E58" s="282"/>
      <c r="F58" s="262"/>
      <c r="G58" s="283"/>
      <c r="H58" s="284"/>
      <c r="I58" s="253"/>
      <c r="J58" s="285"/>
      <c r="K58" s="286"/>
      <c r="L58" s="256"/>
      <c r="M58" s="257"/>
      <c r="N58" s="257"/>
      <c r="O58" s="257"/>
      <c r="P58" s="14"/>
      <c r="Q58" s="14"/>
      <c r="R58" s="14"/>
      <c r="S58" s="14"/>
      <c r="T58" s="14"/>
      <c r="U58" s="14"/>
      <c r="W58" s="14"/>
      <c r="X58" s="14"/>
      <c r="Y58" s="14"/>
      <c r="Z58" s="258">
        <f t="shared" si="2"/>
        <v>0</v>
      </c>
    </row>
    <row r="59" spans="1:32" ht="16" thickBot="1" x14ac:dyDescent="0.25">
      <c r="A59" s="279" t="s">
        <v>544</v>
      </c>
      <c r="B59" s="280"/>
      <c r="C59" s="281"/>
      <c r="D59" s="16"/>
      <c r="E59" s="282"/>
      <c r="F59" s="262"/>
      <c r="G59" s="283"/>
      <c r="H59" s="284"/>
      <c r="I59" s="253"/>
      <c r="J59" s="285"/>
      <c r="K59" s="286"/>
      <c r="L59" s="256"/>
      <c r="M59" s="257"/>
      <c r="N59" s="257"/>
      <c r="O59" s="257"/>
      <c r="P59" s="14"/>
      <c r="Q59" s="14"/>
      <c r="R59" s="14"/>
      <c r="S59" s="14"/>
      <c r="T59" s="14"/>
      <c r="U59" s="14"/>
      <c r="W59" s="14"/>
      <c r="X59" s="14"/>
      <c r="Y59" s="14"/>
      <c r="Z59" s="258">
        <f t="shared" si="2"/>
        <v>0</v>
      </c>
    </row>
    <row r="60" spans="1:32" ht="16" thickBot="1" x14ac:dyDescent="0.25">
      <c r="A60" s="287"/>
      <c r="B60" s="280"/>
      <c r="C60" s="281"/>
      <c r="D60" s="16"/>
      <c r="E60" s="282"/>
      <c r="F60" s="262"/>
      <c r="G60" s="283"/>
      <c r="H60" s="284"/>
      <c r="I60" s="253"/>
      <c r="J60" s="285"/>
      <c r="K60" s="286"/>
      <c r="L60" s="256"/>
      <c r="M60" s="257"/>
      <c r="N60" s="257"/>
      <c r="O60" s="257"/>
      <c r="P60" s="14"/>
      <c r="Q60" s="14">
        <v>5164</v>
      </c>
      <c r="R60" s="14"/>
      <c r="S60" s="14"/>
      <c r="T60" s="14"/>
      <c r="U60" s="14"/>
      <c r="W60" s="14"/>
      <c r="X60" s="14"/>
      <c r="Y60" s="14"/>
      <c r="Z60" s="258">
        <f>SUM(Q60:X60)</f>
        <v>5164</v>
      </c>
    </row>
    <row r="61" spans="1:32" ht="16" thickBot="1" x14ac:dyDescent="0.25">
      <c r="A61" s="280" t="s">
        <v>581</v>
      </c>
      <c r="B61" s="280" t="s">
        <v>582</v>
      </c>
      <c r="C61" s="281"/>
      <c r="D61" s="16"/>
      <c r="E61" s="282"/>
      <c r="F61" s="262"/>
      <c r="G61" s="283"/>
      <c r="H61" s="284"/>
      <c r="I61" s="253"/>
      <c r="J61" s="285"/>
      <c r="K61" s="286"/>
      <c r="L61" s="256"/>
      <c r="M61" s="257"/>
      <c r="N61" s="257"/>
      <c r="O61" s="257"/>
      <c r="P61" s="14"/>
      <c r="Q61" s="14"/>
      <c r="R61" s="14"/>
      <c r="S61" s="14"/>
      <c r="T61" s="14"/>
      <c r="U61" s="14"/>
      <c r="W61" s="14"/>
      <c r="X61" s="14"/>
      <c r="Y61" s="14"/>
      <c r="Z61" s="258">
        <f>SUM(Q61:Q63)</f>
        <v>0</v>
      </c>
    </row>
    <row r="62" spans="1:32" ht="16" thickBot="1" x14ac:dyDescent="0.25">
      <c r="A62" s="280" t="s">
        <v>581</v>
      </c>
      <c r="B62" s="288"/>
      <c r="C62" s="281"/>
      <c r="D62" s="16"/>
      <c r="E62" s="282"/>
      <c r="F62" s="262"/>
      <c r="G62" s="283"/>
      <c r="H62" s="284"/>
      <c r="I62" s="253"/>
      <c r="J62" s="285"/>
      <c r="K62" s="286"/>
      <c r="L62" s="256"/>
      <c r="M62" s="257"/>
      <c r="N62" s="257"/>
      <c r="O62" s="257"/>
      <c r="P62" s="14"/>
      <c r="Q62" s="14"/>
      <c r="R62" s="14"/>
      <c r="S62" s="14"/>
      <c r="T62" s="14"/>
      <c r="U62" s="14"/>
      <c r="W62" s="14"/>
      <c r="X62" s="14"/>
      <c r="Y62" s="14"/>
      <c r="Z62" s="258"/>
    </row>
    <row r="63" spans="1:32" ht="16" thickBot="1" x14ac:dyDescent="0.25">
      <c r="A63" s="280" t="s">
        <v>581</v>
      </c>
      <c r="B63" s="288" t="s">
        <v>578</v>
      </c>
      <c r="C63" s="281"/>
      <c r="D63" s="16"/>
      <c r="E63" s="282"/>
      <c r="F63" s="262"/>
      <c r="G63" s="283"/>
      <c r="H63" s="284"/>
      <c r="I63" s="253"/>
      <c r="J63" s="285"/>
      <c r="K63" s="286"/>
      <c r="L63" s="256"/>
      <c r="M63" s="257"/>
      <c r="N63" s="257"/>
      <c r="O63" s="257"/>
      <c r="P63" s="14"/>
      <c r="Q63" s="14"/>
      <c r="R63" s="14"/>
      <c r="S63" s="14"/>
      <c r="T63" s="14"/>
      <c r="U63" s="14"/>
      <c r="W63" s="14"/>
      <c r="X63" s="14"/>
      <c r="Y63" s="14"/>
      <c r="Z63" s="258">
        <f>M63+N63+Q63+T63</f>
        <v>0</v>
      </c>
    </row>
    <row r="64" spans="1:32" ht="16" thickBot="1" x14ac:dyDescent="0.25">
      <c r="A64" s="279" t="s">
        <v>587</v>
      </c>
      <c r="B64" s="280"/>
      <c r="C64" s="281"/>
      <c r="D64" s="16"/>
      <c r="E64" s="282"/>
      <c r="F64" s="248"/>
      <c r="G64" s="283"/>
      <c r="H64" s="284"/>
      <c r="I64" s="253"/>
      <c r="J64" s="285"/>
      <c r="K64" s="286"/>
      <c r="L64" s="256"/>
      <c r="M64" s="257"/>
      <c r="N64" s="257"/>
      <c r="O64" s="257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258">
        <f>SUM(Q64:X64)</f>
        <v>0</v>
      </c>
    </row>
    <row r="65" spans="1:26" ht="16" thickBot="1" x14ac:dyDescent="0.25">
      <c r="A65" s="279"/>
      <c r="B65" s="280"/>
      <c r="C65" s="281"/>
      <c r="D65" s="16"/>
      <c r="E65" s="279"/>
      <c r="F65" s="289"/>
      <c r="G65" s="290"/>
      <c r="H65" s="287"/>
      <c r="I65" s="253"/>
      <c r="J65" s="285"/>
      <c r="K65" s="286"/>
      <c r="M65" s="257"/>
      <c r="N65" s="257"/>
      <c r="O65" s="257"/>
      <c r="P65" s="14"/>
      <c r="Q65" s="206"/>
      <c r="R65" s="206"/>
      <c r="S65" s="206"/>
      <c r="T65" s="206"/>
      <c r="U65" s="206"/>
      <c r="V65" s="206"/>
      <c r="W65" s="206"/>
      <c r="X65" s="206"/>
      <c r="Y65" s="206"/>
      <c r="Z65" s="291">
        <f>SUM(Z6:Z64)</f>
        <v>150424.59</v>
      </c>
    </row>
    <row r="66" spans="1:26" ht="16" thickBot="1" x14ac:dyDescent="0.25">
      <c r="A66" s="292"/>
      <c r="B66" s="293"/>
      <c r="C66" s="294">
        <f>SUM(C6:C65)</f>
        <v>3474</v>
      </c>
      <c r="D66" s="16">
        <f>SUM(D6:D65)</f>
        <v>169100</v>
      </c>
      <c r="E66" s="16">
        <f>SUM(E6:E64)</f>
        <v>146346.5</v>
      </c>
      <c r="F66" s="295"/>
      <c r="G66" s="296"/>
      <c r="H66" s="297"/>
      <c r="I66" s="298">
        <f>SUM(I6:I65)</f>
        <v>97153.670000000013</v>
      </c>
      <c r="J66" s="299">
        <f>SUM(J6:J65)</f>
        <v>81617.239999999991</v>
      </c>
      <c r="K66" s="300"/>
      <c r="L66" s="301"/>
      <c r="M66" s="302">
        <f>SUM(M6:M65)</f>
        <v>71946.33</v>
      </c>
      <c r="N66" s="302">
        <f>SUM(N6:N65)</f>
        <v>64729.26</v>
      </c>
      <c r="O66" s="295"/>
      <c r="P66" s="14"/>
      <c r="Q66" s="206">
        <f>SUM(Q7:Q65)</f>
        <v>10811.5</v>
      </c>
      <c r="R66" s="206"/>
      <c r="S66" s="206">
        <f>SUM(S7:S65)</f>
        <v>8650</v>
      </c>
      <c r="T66" s="206">
        <f>SUM(T7:T65)</f>
        <v>-5712.5</v>
      </c>
      <c r="U66" s="206">
        <f>SUM(U7:U65)</f>
        <v>0</v>
      </c>
      <c r="V66" s="206">
        <f>SUM(V7:V65)</f>
        <v>0</v>
      </c>
      <c r="W66" s="303">
        <f>SUM(W6:W65)</f>
        <v>0</v>
      </c>
      <c r="X66" s="14"/>
      <c r="Y66" s="304"/>
      <c r="Z66" s="130"/>
    </row>
    <row r="67" spans="1:26" x14ac:dyDescent="0.2">
      <c r="A67" s="305"/>
      <c r="B67" s="306"/>
      <c r="C67" s="307"/>
      <c r="D67" s="66"/>
      <c r="E67" s="301"/>
      <c r="F67" s="301"/>
      <c r="G67" s="301"/>
      <c r="H67" s="301"/>
      <c r="I67" s="308"/>
      <c r="J67" s="308"/>
      <c r="K67" s="309"/>
      <c r="L67" s="301"/>
      <c r="M67" s="309"/>
      <c r="N67" s="301"/>
      <c r="O67" s="301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30"/>
    </row>
    <row r="68" spans="1:26" x14ac:dyDescent="0.2">
      <c r="A68" s="305"/>
      <c r="B68" s="306"/>
      <c r="C68" s="307"/>
      <c r="D68" s="67"/>
      <c r="E68" s="301"/>
      <c r="F68" s="301"/>
      <c r="G68" s="301"/>
      <c r="H68" s="301"/>
      <c r="I68" s="308"/>
      <c r="J68" s="308"/>
      <c r="K68" s="309"/>
      <c r="L68" s="301"/>
      <c r="M68" s="309"/>
      <c r="N68" s="301"/>
      <c r="O68" s="301"/>
      <c r="P68" s="14"/>
      <c r="Q68" s="14"/>
      <c r="R68" s="14"/>
      <c r="S68" s="14"/>
      <c r="T68" s="14"/>
      <c r="U68" s="14">
        <f>SUM(Q66:U66)</f>
        <v>13749</v>
      </c>
      <c r="V68" s="14"/>
      <c r="W68" s="14">
        <f>SUM(Q66:V66)</f>
        <v>13749</v>
      </c>
      <c r="X68" s="14"/>
      <c r="Y68" s="14"/>
      <c r="Z68" s="130"/>
    </row>
    <row r="69" spans="1:26" x14ac:dyDescent="0.2">
      <c r="A69" s="305"/>
      <c r="B69" s="306"/>
      <c r="C69" s="307"/>
      <c r="D69" s="67"/>
      <c r="E69" s="301"/>
      <c r="F69" s="301"/>
      <c r="G69" s="301"/>
      <c r="H69" s="301"/>
      <c r="I69" s="308"/>
      <c r="J69" s="308"/>
      <c r="K69" s="309"/>
      <c r="L69" s="301"/>
      <c r="M69" s="309"/>
      <c r="N69" s="301"/>
      <c r="O69" s="301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130"/>
    </row>
    <row r="70" spans="1:26" x14ac:dyDescent="0.2">
      <c r="D70" s="67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30"/>
    </row>
    <row r="71" spans="1:26" x14ac:dyDescent="0.2">
      <c r="D71" s="67"/>
      <c r="M71" t="s">
        <v>20</v>
      </c>
      <c r="O71" s="14">
        <f>M66</f>
        <v>71946.33</v>
      </c>
      <c r="P71" s="14"/>
      <c r="Q71" s="14"/>
      <c r="R71" s="14"/>
      <c r="S71" s="14">
        <f>SUM(M66:N66)</f>
        <v>136675.59</v>
      </c>
      <c r="T71" s="14"/>
      <c r="U71" s="14"/>
      <c r="V71" s="14"/>
      <c r="W71" s="14"/>
      <c r="X71" s="14"/>
      <c r="Y71" s="14"/>
      <c r="Z71" s="130"/>
    </row>
    <row r="72" spans="1:26" x14ac:dyDescent="0.2">
      <c r="D72" s="67"/>
      <c r="M72" t="s">
        <v>481</v>
      </c>
      <c r="O72" s="14">
        <f>N66</f>
        <v>64729.26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30"/>
    </row>
    <row r="73" spans="1:26" x14ac:dyDescent="0.2">
      <c r="D73" s="67"/>
      <c r="O73" s="313"/>
      <c r="Z73" s="130"/>
    </row>
    <row r="74" spans="1:26" x14ac:dyDescent="0.2">
      <c r="O74" s="14">
        <f>SUM(O71:O73)</f>
        <v>136675.59</v>
      </c>
      <c r="Z74" s="130"/>
    </row>
    <row r="76" spans="1:26" x14ac:dyDescent="0.2">
      <c r="O76" s="14"/>
    </row>
    <row r="77" spans="1:26" x14ac:dyDescent="0.2">
      <c r="O77" s="14">
        <f>W68</f>
        <v>13749</v>
      </c>
    </row>
    <row r="79" spans="1:26" x14ac:dyDescent="0.2">
      <c r="D79" s="314"/>
      <c r="N79" s="14"/>
      <c r="O79" s="14"/>
    </row>
    <row r="80" spans="1:26" x14ac:dyDescent="0.2">
      <c r="N80" s="14"/>
      <c r="O80" s="14">
        <f>SUM(O74:O77)</f>
        <v>150424.59</v>
      </c>
    </row>
    <row r="81" spans="14:15" x14ac:dyDescent="0.2">
      <c r="N81" s="14"/>
      <c r="O81" s="14"/>
    </row>
    <row r="82" spans="14:15" x14ac:dyDescent="0.2">
      <c r="N82" s="14"/>
      <c r="O82" s="14"/>
    </row>
    <row r="83" spans="14:15" x14ac:dyDescent="0.2">
      <c r="N83" s="14"/>
      <c r="O83" s="14"/>
    </row>
    <row r="84" spans="14:15" x14ac:dyDescent="0.2">
      <c r="N84" s="14"/>
      <c r="O84" s="14"/>
    </row>
    <row r="85" spans="14:15" x14ac:dyDescent="0.2">
      <c r="N85" s="14"/>
      <c r="O85" s="14"/>
    </row>
    <row r="86" spans="14:15" x14ac:dyDescent="0.2">
      <c r="N86" s="14"/>
      <c r="O86" s="14"/>
    </row>
    <row r="87" spans="14:15" x14ac:dyDescent="0.2">
      <c r="N87" s="14"/>
      <c r="O87" s="14"/>
    </row>
    <row r="88" spans="14:15" x14ac:dyDescent="0.2">
      <c r="N88" s="14"/>
      <c r="O88" s="14"/>
    </row>
    <row r="89" spans="14:15" x14ac:dyDescent="0.2">
      <c r="N89" s="14"/>
      <c r="O89" s="14"/>
    </row>
    <row r="90" spans="14:15" x14ac:dyDescent="0.2">
      <c r="N90" s="14"/>
      <c r="O90" s="14"/>
    </row>
    <row r="91" spans="14:15" x14ac:dyDescent="0.2">
      <c r="N91" s="14"/>
      <c r="O91" s="14"/>
    </row>
  </sheetData>
  <mergeCells count="6">
    <mergeCell ref="T3:V3"/>
    <mergeCell ref="I4:I5"/>
    <mergeCell ref="M4:M5"/>
    <mergeCell ref="B1:C1"/>
    <mergeCell ref="I3:K3"/>
    <mergeCell ref="M3:O3"/>
  </mergeCells>
  <printOptions gridLines="1"/>
  <pageMargins left="0.7" right="0.7" top="0.75" bottom="0.75" header="0.3" footer="0.3"/>
  <pageSetup paperSize="5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Workbook Directory</vt:lpstr>
      <vt:lpstr>Balance Sheet 1</vt:lpstr>
      <vt:lpstr>Summary Update updated 2</vt:lpstr>
      <vt:lpstr>PL Budget Mission &amp; Opers 3</vt:lpstr>
      <vt:lpstr>Camp YTD Budget  4</vt:lpstr>
      <vt:lpstr>Class Report 5</vt:lpstr>
      <vt:lpstr>Net Assets Summary 6 a</vt:lpstr>
      <vt:lpstr>Net Assets  6b</vt:lpstr>
      <vt:lpstr>AR 2024 8</vt:lpstr>
      <vt:lpstr>'AR 2024 8'!Print_Area</vt:lpstr>
      <vt:lpstr>'Summary Update updated 2'!Print_Area</vt:lpstr>
      <vt:lpstr>'AR 2024 8'!Print_Titles</vt:lpstr>
      <vt:lpstr>'Camp YTD Budget  4'!Print_Titles</vt:lpstr>
      <vt:lpstr>'Net Assets  6b'!Print_Titles</vt:lpstr>
      <vt:lpstr>'Net Assets Summary 6 a'!Print_Titles</vt:lpstr>
      <vt:lpstr>'PL Budget Mission &amp; Opers 3'!Print_Titles</vt:lpstr>
      <vt:lpstr>'Summary Update updated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David Ashby</cp:lastModifiedBy>
  <cp:lastPrinted>2023-12-15T16:34:43Z</cp:lastPrinted>
  <dcterms:created xsi:type="dcterms:W3CDTF">2016-03-07T17:13:11Z</dcterms:created>
  <dcterms:modified xsi:type="dcterms:W3CDTF">2024-09-16T22:15:28Z</dcterms:modified>
</cp:coreProperties>
</file>