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cc2edb4e3910f1a/Operations/2024/"/>
    </mc:Choice>
  </mc:AlternateContent>
  <xr:revisionPtr revIDLastSave="152" documentId="8_{1B93B36E-1234-4062-BD5C-30E3CEF94047}" xr6:coauthVersionLast="47" xr6:coauthVersionMax="47" xr10:uidLastSave="{96B2BCB9-287B-4D7F-8D63-A5F75E2B2262}"/>
  <bookViews>
    <workbookView xWindow="-120" yWindow="-120" windowWidth="20730" windowHeight="11040" xr2:uid="{C4DA9A73-40DB-42ED-B3B6-71B0FFD86A08}"/>
  </bookViews>
  <sheets>
    <sheet name="Presbytery Budget 2025+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1" l="1"/>
  <c r="C4" i="1"/>
  <c r="D4" i="1" s="1"/>
  <c r="D92" i="1"/>
  <c r="F90" i="1"/>
  <c r="E90" i="1"/>
  <c r="F89" i="1"/>
  <c r="E89" i="1"/>
  <c r="E97" i="1" s="1"/>
  <c r="C80" i="1"/>
  <c r="D80" i="1" s="1"/>
  <c r="H24" i="1"/>
  <c r="H27" i="1" s="1"/>
  <c r="D118" i="1"/>
  <c r="C118" i="1"/>
  <c r="B118" i="1"/>
  <c r="B104" i="1"/>
  <c r="B105" i="1" s="1"/>
  <c r="I103" i="1"/>
  <c r="D102" i="1"/>
  <c r="D101" i="1"/>
  <c r="I97" i="1"/>
  <c r="H97" i="1"/>
  <c r="D96" i="1"/>
  <c r="D94" i="1"/>
  <c r="D93" i="1"/>
  <c r="D91" i="1"/>
  <c r="C90" i="1"/>
  <c r="D90" i="1" s="1"/>
  <c r="C89" i="1"/>
  <c r="D88" i="1"/>
  <c r="I83" i="1"/>
  <c r="H83" i="1"/>
  <c r="F81" i="1"/>
  <c r="F83" i="1" s="1"/>
  <c r="E81" i="1"/>
  <c r="E83" i="1" s="1"/>
  <c r="D78" i="1"/>
  <c r="D77" i="1"/>
  <c r="D76" i="1"/>
  <c r="D75" i="1"/>
  <c r="D74" i="1"/>
  <c r="D73" i="1"/>
  <c r="D72" i="1"/>
  <c r="D71" i="1"/>
  <c r="D70" i="1"/>
  <c r="I65" i="1"/>
  <c r="I102" i="1" s="1"/>
  <c r="H65" i="1"/>
  <c r="H102" i="1" s="1"/>
  <c r="F63" i="1"/>
  <c r="E63" i="1"/>
  <c r="B63" i="1"/>
  <c r="D61" i="1"/>
  <c r="F59" i="1"/>
  <c r="E59" i="1"/>
  <c r="B59" i="1"/>
  <c r="D59" i="1" s="1"/>
  <c r="D58" i="1"/>
  <c r="D56" i="1"/>
  <c r="D55" i="1"/>
  <c r="D54" i="1"/>
  <c r="D52" i="1"/>
  <c r="I47" i="1"/>
  <c r="H47" i="1"/>
  <c r="F47" i="1"/>
  <c r="E47" i="1"/>
  <c r="C47" i="1"/>
  <c r="D47" i="1" s="1"/>
  <c r="D46" i="1"/>
  <c r="D44" i="1"/>
  <c r="D43" i="1"/>
  <c r="I41" i="1"/>
  <c r="H41" i="1"/>
  <c r="D40" i="1"/>
  <c r="D39" i="1"/>
  <c r="E38" i="1"/>
  <c r="C38" i="1"/>
  <c r="D38" i="1" s="1"/>
  <c r="E37" i="1"/>
  <c r="F37" i="1" s="1"/>
  <c r="C37" i="1"/>
  <c r="H34" i="1"/>
  <c r="D33" i="1"/>
  <c r="D32" i="1"/>
  <c r="D31" i="1"/>
  <c r="C31" i="1"/>
  <c r="I30" i="1"/>
  <c r="I34" i="1" s="1"/>
  <c r="F30" i="1"/>
  <c r="F34" i="1" s="1"/>
  <c r="E30" i="1"/>
  <c r="E34" i="1" s="1"/>
  <c r="C30" i="1"/>
  <c r="C34" i="1" s="1"/>
  <c r="D34" i="1" s="1"/>
  <c r="I27" i="1"/>
  <c r="D26" i="1"/>
  <c r="D25" i="1"/>
  <c r="D24" i="1"/>
  <c r="D23" i="1"/>
  <c r="D22" i="1"/>
  <c r="D21" i="1"/>
  <c r="F20" i="1"/>
  <c r="E20" i="1"/>
  <c r="D20" i="1"/>
  <c r="F19" i="1"/>
  <c r="E19" i="1"/>
  <c r="C19" i="1"/>
  <c r="C27" i="1" s="1"/>
  <c r="D27" i="1" s="1"/>
  <c r="I13" i="1"/>
  <c r="I108" i="1" s="1"/>
  <c r="H13" i="1"/>
  <c r="H108" i="1" s="1"/>
  <c r="D12" i="1"/>
  <c r="B11" i="1"/>
  <c r="B13" i="1" s="1"/>
  <c r="D8" i="1"/>
  <c r="D7" i="1"/>
  <c r="D5" i="1"/>
  <c r="F4" i="1"/>
  <c r="F13" i="1" s="1"/>
  <c r="F108" i="1" s="1"/>
  <c r="E4" i="1"/>
  <c r="E13" i="1" s="1"/>
  <c r="E108" i="1" s="1"/>
  <c r="E41" i="1" l="1"/>
  <c r="E27" i="1"/>
  <c r="E100" i="1"/>
  <c r="F65" i="1"/>
  <c r="F97" i="1"/>
  <c r="F100" i="1" s="1"/>
  <c r="E65" i="1"/>
  <c r="C41" i="1"/>
  <c r="D41" i="1" s="1"/>
  <c r="D104" i="1"/>
  <c r="C11" i="1"/>
  <c r="C13" i="1" s="1"/>
  <c r="C108" i="1" s="1"/>
  <c r="F27" i="1"/>
  <c r="F38" i="1"/>
  <c r="F41" i="1" s="1"/>
  <c r="F49" i="1" s="1"/>
  <c r="F103" i="1" s="1"/>
  <c r="E49" i="1"/>
  <c r="E103" i="1" s="1"/>
  <c r="E105" i="1" s="1"/>
  <c r="E109" i="1" s="1"/>
  <c r="B65" i="1"/>
  <c r="D65" i="1" s="1"/>
  <c r="C97" i="1"/>
  <c r="I104" i="1"/>
  <c r="I105" i="1" s="1"/>
  <c r="I110" i="1" s="1"/>
  <c r="E110" i="1"/>
  <c r="H104" i="1"/>
  <c r="C83" i="1"/>
  <c r="D83" i="1" s="1"/>
  <c r="H100" i="1"/>
  <c r="I48" i="1"/>
  <c r="H48" i="1"/>
  <c r="H103" i="1" s="1"/>
  <c r="B108" i="1"/>
  <c r="D97" i="1"/>
  <c r="H105" i="1"/>
  <c r="H110" i="1" s="1"/>
  <c r="B109" i="1"/>
  <c r="I100" i="1"/>
  <c r="D37" i="1"/>
  <c r="D19" i="1"/>
  <c r="D30" i="1"/>
  <c r="D63" i="1"/>
  <c r="D81" i="1"/>
  <c r="D89" i="1"/>
  <c r="D11" i="1" l="1"/>
  <c r="F105" i="1"/>
  <c r="F109" i="1" s="1"/>
  <c r="F110" i="1" s="1"/>
  <c r="C49" i="1"/>
  <c r="C103" i="1" s="1"/>
  <c r="D103" i="1" s="1"/>
  <c r="C100" i="1"/>
  <c r="D100" i="1" s="1"/>
  <c r="D108" i="1"/>
  <c r="B110" i="1"/>
  <c r="D13" i="1"/>
  <c r="C105" i="1" l="1"/>
  <c r="D49" i="1"/>
  <c r="C109" i="1"/>
  <c r="D105" i="1"/>
  <c r="D109" i="1" l="1"/>
  <c r="C110" i="1"/>
  <c r="D110" i="1" s="1"/>
</calcChain>
</file>

<file path=xl/sharedStrings.xml><?xml version="1.0" encoding="utf-8"?>
<sst xmlns="http://schemas.openxmlformats.org/spreadsheetml/2006/main" count="118" uniqueCount="106">
  <si>
    <t xml:space="preserve">Presbytery of Geneva </t>
  </si>
  <si>
    <t>2024 Budget</t>
  </si>
  <si>
    <t>Giving and Other Receipts (Income)</t>
  </si>
  <si>
    <t>Mission</t>
  </si>
  <si>
    <t>Operating</t>
  </si>
  <si>
    <t>Total</t>
  </si>
  <si>
    <t>total</t>
  </si>
  <si>
    <t>4000.00 · Presbytery Receipts</t>
  </si>
  <si>
    <t xml:space="preserve">     Non congregaton Per Capita Donation</t>
  </si>
  <si>
    <t>4500 Interest Income</t>
  </si>
  <si>
    <t xml:space="preserve">    4404_O ·  Synod Grant</t>
  </si>
  <si>
    <t xml:space="preserve">3100_M · Presbytery Mission pledges </t>
  </si>
  <si>
    <t>Total Presbytery Receipts</t>
  </si>
  <si>
    <t xml:space="preserve">Camp Whitment Receipts </t>
  </si>
  <si>
    <t>TOTAL INCOME</t>
  </si>
  <si>
    <t>Presbytery of Geneva - 2025 Budget</t>
  </si>
  <si>
    <t>Expenses</t>
  </si>
  <si>
    <t>Personnel</t>
  </si>
  <si>
    <t>6050_O · Presbytery Leader (4/5-time)</t>
  </si>
  <si>
    <t>6052_O · Housing</t>
  </si>
  <si>
    <t>6054_O · Medical</t>
  </si>
  <si>
    <t xml:space="preserve">6056_O · Board of Pensions  </t>
  </si>
  <si>
    <t>6057_O · Study Leave</t>
  </si>
  <si>
    <t>6058_O · Travel/Business</t>
  </si>
  <si>
    <t>6060_O - Presbytery Leader Formation</t>
  </si>
  <si>
    <t>6265_O  Payroll Taxes</t>
  </si>
  <si>
    <t>SUBTOTAL  Presbytery Leader</t>
  </si>
  <si>
    <t xml:space="preserve">Stated Clerk (1/4-time)  10.5 hours/week </t>
  </si>
  <si>
    <t>6027_O · Travel/Business</t>
  </si>
  <si>
    <t>SUBTOTAL  Stated Clerk</t>
  </si>
  <si>
    <t>6265_O ·Payroll Taxes</t>
  </si>
  <si>
    <t>6795_O · Staff Travel</t>
  </si>
  <si>
    <t>SUBTOTAL Administrative Service</t>
  </si>
  <si>
    <t>6220_O · Disability Insurance</t>
  </si>
  <si>
    <r>
      <t>6250_O · Worker's Comp</t>
    </r>
    <r>
      <rPr>
        <sz val="9"/>
        <color rgb="FFFF0000"/>
        <rFont val="Calibri"/>
        <family val="2"/>
      </rPr>
      <t xml:space="preserve"> 25%</t>
    </r>
    <r>
      <rPr>
        <sz val="9"/>
        <rFont val="Calibri"/>
        <family val="2"/>
      </rPr>
      <t xml:space="preserve">  of $4936</t>
    </r>
  </si>
  <si>
    <t>6265_O · Employer FICA allocated above</t>
  </si>
  <si>
    <t>6270_O · Unemployment Insurance</t>
  </si>
  <si>
    <t>SUBTOTAL</t>
  </si>
  <si>
    <t>PERSONNEL TOTAL</t>
  </si>
  <si>
    <t>5350_M · Mission Allocation to Camp</t>
  </si>
  <si>
    <t xml:space="preserve">    </t>
  </si>
  <si>
    <t>6511_M · Committee on Ministry expenses</t>
  </si>
  <si>
    <t>6504_M ·Leader Care expenses</t>
  </si>
  <si>
    <t xml:space="preserve">                6509_M · Vitality expenses</t>
  </si>
  <si>
    <t>5155 M  Youth Trienium2865</t>
  </si>
  <si>
    <t xml:space="preserve">SUBTOTAL excluding camp </t>
  </si>
  <si>
    <t>5200_M · Mission and Witness - Matthew 25 grants</t>
  </si>
  <si>
    <t xml:space="preserve">                 Mission and Witness Non Local Grant</t>
  </si>
  <si>
    <t>Mission and Witness Subtotal</t>
  </si>
  <si>
    <t>Total Mission including Camp</t>
  </si>
  <si>
    <t>Operations</t>
  </si>
  <si>
    <t>6600_O · Office Expenses</t>
  </si>
  <si>
    <t xml:space="preserve">6630_O · Telephone </t>
  </si>
  <si>
    <t xml:space="preserve">6640_O · Postage  </t>
  </si>
  <si>
    <t xml:space="preserve">6651_O · Bank Fees </t>
  </si>
  <si>
    <t>6660_O · Equipment Purchases</t>
  </si>
  <si>
    <t>6661_O · Computer Software-Hardware</t>
  </si>
  <si>
    <r>
      <t xml:space="preserve">6662_O · </t>
    </r>
    <r>
      <rPr>
        <sz val="9"/>
        <color theme="1"/>
        <rFont val="Calibri"/>
        <family val="2"/>
      </rPr>
      <t xml:space="preserve">Operations </t>
    </r>
    <r>
      <rPr>
        <sz val="9"/>
        <rFont val="Calibri"/>
        <family val="2"/>
      </rPr>
      <t>Committee Expenses</t>
    </r>
  </si>
  <si>
    <r>
      <t>6665_O · Website</t>
    </r>
    <r>
      <rPr>
        <sz val="9"/>
        <color rgb="FFFF0000"/>
        <rFont val="Calibri"/>
        <family val="2"/>
      </rPr>
      <t xml:space="preserve"> </t>
    </r>
  </si>
  <si>
    <t>6670_O · Office Supplies</t>
  </si>
  <si>
    <t>6685_O · Staff Development and Appreciation</t>
  </si>
  <si>
    <t>6715 O - dues</t>
  </si>
  <si>
    <t>6755_O · Rent for storage space ?/month</t>
  </si>
  <si>
    <t>SUBTOTAL office expenses</t>
  </si>
  <si>
    <t>6700 · Other Operating Expenses</t>
  </si>
  <si>
    <t>6720_O · Insurance-Office 25% of umbrella and package policy</t>
  </si>
  <si>
    <r>
      <t xml:space="preserve">6730_O · Synod Per Capita </t>
    </r>
    <r>
      <rPr>
        <sz val="9"/>
        <color rgb="FF00B050"/>
        <rFont val="Calibri"/>
        <family val="2"/>
      </rPr>
      <t xml:space="preserve"> </t>
    </r>
  </si>
  <si>
    <t>6740_O · GA Per Capita</t>
  </si>
  <si>
    <t>6750_O · Legal Expenses</t>
  </si>
  <si>
    <t xml:space="preserve">6770_O · GA/Synod Meetings  </t>
  </si>
  <si>
    <t>6775_O Presbytery Meeting Expense</t>
  </si>
  <si>
    <t>6810_O · Payroll Service  $250/month</t>
  </si>
  <si>
    <t>6820_O · Bookkeeping</t>
  </si>
  <si>
    <t>6910_O · Auditor Contract</t>
  </si>
  <si>
    <t>SUBTOTAL, Other Operations</t>
  </si>
  <si>
    <t xml:space="preserve"> </t>
  </si>
  <si>
    <t>TOTALS BY TYPE OF EXPENSE</t>
  </si>
  <si>
    <t>TOTAL Office and Other Operation</t>
  </si>
  <si>
    <t>Total Mission and Witness</t>
  </si>
  <si>
    <t>TOTAL Mission Priorities - committees and triennium</t>
  </si>
  <si>
    <t>TOTAL Payroll</t>
  </si>
  <si>
    <t>TOTAL CAMP WHITMAN</t>
  </si>
  <si>
    <t>TOTAL PRESBYTERY EXPENSE</t>
  </si>
  <si>
    <t>Total Presbytery Income (Line14)</t>
  </si>
  <si>
    <t>Total Presbytery Expernse (Line 114)</t>
  </si>
  <si>
    <t>Total Presbytery Income Less all Expense</t>
  </si>
  <si>
    <t>Use of Reserve Funds</t>
  </si>
  <si>
    <t>Membership</t>
  </si>
  <si>
    <t>Presbytery per capita</t>
  </si>
  <si>
    <t>Synod per capita</t>
  </si>
  <si>
    <t>GA per capita</t>
  </si>
  <si>
    <t>Total per capita</t>
  </si>
  <si>
    <r>
      <t>6051_O · Cash Salary</t>
    </r>
    <r>
      <rPr>
        <sz val="9"/>
        <color rgb="FFFF0000"/>
        <rFont val="Calibri"/>
        <family val="2"/>
      </rPr>
      <t xml:space="preserve"> </t>
    </r>
    <r>
      <rPr>
        <sz val="9"/>
        <rFont val="Calibri"/>
        <family val="2"/>
      </rPr>
      <t xml:space="preserve"> </t>
    </r>
  </si>
  <si>
    <t xml:space="preserve">6021_O · Cash Salary    </t>
  </si>
  <si>
    <t>6022_O  Per Diem upto  80 hours</t>
  </si>
  <si>
    <r>
      <t xml:space="preserve">6030_O · Administrative Service </t>
    </r>
    <r>
      <rPr>
        <b/>
        <sz val="9"/>
        <color rgb="FF00B050"/>
        <rFont val="Calibri"/>
        <family val="2"/>
      </rPr>
      <t xml:space="preserve">          </t>
    </r>
  </si>
  <si>
    <t xml:space="preserve">6031_O · Cash Salary (Communications) </t>
  </si>
  <si>
    <r>
      <t xml:space="preserve">                Cash Salary ( Financial Assistant) </t>
    </r>
    <r>
      <rPr>
        <sz val="8"/>
        <rFont val="Calibri"/>
        <family val="2"/>
      </rPr>
      <t xml:space="preserve"> </t>
    </r>
  </si>
  <si>
    <t>synod grants</t>
  </si>
  <si>
    <t>2026 members</t>
  </si>
  <si>
    <t>2027 members</t>
  </si>
  <si>
    <t>2025 members</t>
  </si>
  <si>
    <t xml:space="preserve">4100.00 · Per Capita  </t>
  </si>
  <si>
    <t>Marji - $80   Camp- $40  Amy $40  Cheryl $42 = Communication -$40</t>
  </si>
  <si>
    <t>6756_O · Office Expenses - Home Offices ($242/month)</t>
  </si>
  <si>
    <t>10 months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</si>
</sst>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20"/>
      <name val="Calibri"/>
      <family val="2"/>
    </font>
    <font>
      <b/>
      <sz val="9"/>
      <name val="Calibri"/>
      <family val="2"/>
    </font>
    <font>
      <b/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9"/>
      <color rgb="FFFF0000"/>
      <name val="Aptos Narrow"/>
      <family val="2"/>
      <scheme val="minor"/>
    </font>
    <font>
      <sz val="9"/>
      <name val="Aptos Narrow"/>
      <family val="2"/>
      <scheme val="minor"/>
    </font>
    <font>
      <b/>
      <sz val="18"/>
      <name val="Calibri"/>
      <family val="2"/>
    </font>
    <font>
      <b/>
      <sz val="14"/>
      <name val="Calibri"/>
      <family val="2"/>
    </font>
    <font>
      <b/>
      <sz val="18"/>
      <color theme="1"/>
      <name val="Aptos Narrow"/>
      <family val="2"/>
      <scheme val="minor"/>
    </font>
    <font>
      <b/>
      <i/>
      <sz val="9"/>
      <name val="Calibri"/>
      <family val="2"/>
    </font>
    <font>
      <sz val="9"/>
      <color rgb="FFFF0000"/>
      <name val="Calibri"/>
      <family val="2"/>
    </font>
    <font>
      <b/>
      <sz val="10"/>
      <name val="Calibri"/>
      <family val="2"/>
    </font>
    <font>
      <sz val="9"/>
      <color rgb="FF00B050"/>
      <name val="Calibri"/>
      <family val="2"/>
    </font>
    <font>
      <b/>
      <sz val="9"/>
      <color rgb="FF00B050"/>
      <name val="Calibri"/>
      <family val="2"/>
    </font>
    <font>
      <sz val="8"/>
      <name val="Calibri"/>
      <family val="2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Calibri"/>
      <family val="2"/>
    </font>
    <font>
      <b/>
      <i/>
      <sz val="14"/>
      <name val="Calibri"/>
      <family val="2"/>
    </font>
    <font>
      <b/>
      <sz val="9"/>
      <color rgb="FFFF0000"/>
      <name val="Aptos Narrow"/>
      <family val="2"/>
      <scheme val="minor"/>
    </font>
    <font>
      <sz val="9"/>
      <color theme="9" tint="-0.499984740745262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7E6E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44" fontId="5" fillId="5" borderId="0" xfId="1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top" wrapText="1"/>
    </xf>
    <xf numFmtId="0" fontId="6" fillId="6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44" fontId="7" fillId="5" borderId="0" xfId="1" applyFont="1" applyFill="1"/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" fontId="7" fillId="6" borderId="0" xfId="0" applyNumberFormat="1" applyFont="1" applyFill="1"/>
    <xf numFmtId="4" fontId="7" fillId="2" borderId="0" xfId="0" applyNumberFormat="1" applyFont="1" applyFill="1"/>
    <xf numFmtId="0" fontId="8" fillId="3" borderId="4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 indent="2"/>
    </xf>
    <xf numFmtId="4" fontId="7" fillId="0" borderId="0" xfId="0" applyNumberFormat="1" applyFont="1"/>
    <xf numFmtId="4" fontId="7" fillId="0" borderId="0" xfId="0" applyNumberFormat="1" applyFont="1" applyAlignment="1">
      <alignment vertical="center"/>
    </xf>
    <xf numFmtId="4" fontId="7" fillId="6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3" borderId="4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vertical="center"/>
    </xf>
    <xf numFmtId="44" fontId="8" fillId="5" borderId="0" xfId="1" applyFont="1" applyFill="1" applyAlignment="1">
      <alignment vertical="center" wrapText="1"/>
    </xf>
    <xf numFmtId="4" fontId="7" fillId="3" borderId="4" xfId="0" applyNumberFormat="1" applyFont="1" applyFill="1" applyBorder="1"/>
    <xf numFmtId="4" fontId="7" fillId="4" borderId="0" xfId="0" applyNumberFormat="1" applyFont="1" applyFill="1"/>
    <xf numFmtId="44" fontId="8" fillId="5" borderId="0" xfId="1" applyFont="1" applyFill="1" applyAlignment="1">
      <alignment horizontal="left" vertical="top" wrapText="1"/>
    </xf>
    <xf numFmtId="0" fontId="8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 indent="4"/>
    </xf>
    <xf numFmtId="4" fontId="10" fillId="0" borderId="0" xfId="0" applyNumberFormat="1" applyFont="1"/>
    <xf numFmtId="0" fontId="11" fillId="7" borderId="1" xfId="0" applyFont="1" applyFill="1" applyBorder="1" applyAlignment="1">
      <alignment horizontal="center" vertical="top" wrapText="1"/>
    </xf>
    <xf numFmtId="4" fontId="7" fillId="7" borderId="0" xfId="0" applyNumberFormat="1" applyFont="1" applyFill="1"/>
    <xf numFmtId="4" fontId="7" fillId="7" borderId="4" xfId="0" applyNumberFormat="1" applyFont="1" applyFill="1" applyBorder="1"/>
    <xf numFmtId="0" fontId="4" fillId="0" borderId="1" xfId="0" applyFont="1" applyBorder="1" applyAlignment="1">
      <alignment horizontal="center" vertical="top" wrapText="1"/>
    </xf>
    <xf numFmtId="4" fontId="6" fillId="4" borderId="0" xfId="0" applyNumberFormat="1" applyFont="1" applyFill="1"/>
    <xf numFmtId="0" fontId="12" fillId="0" borderId="1" xfId="0" applyFont="1" applyBorder="1" applyAlignment="1">
      <alignment horizontal="left" vertical="top" wrapText="1" indent="5"/>
    </xf>
    <xf numFmtId="0" fontId="13" fillId="2" borderId="0" xfId="0" applyFont="1" applyFill="1" applyAlignment="1">
      <alignment horizontal="center"/>
    </xf>
    <xf numFmtId="1" fontId="13" fillId="3" borderId="4" xfId="0" applyNumberFormat="1" applyFont="1" applyFill="1" applyBorder="1" applyAlignment="1">
      <alignment horizontal="center"/>
    </xf>
    <xf numFmtId="4" fontId="6" fillId="0" borderId="0" xfId="0" applyNumberFormat="1" applyFont="1"/>
    <xf numFmtId="4" fontId="6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4" fontId="6" fillId="0" borderId="0" xfId="0" applyNumberFormat="1" applyFont="1" applyAlignment="1">
      <alignment horizontal="center"/>
    </xf>
    <xf numFmtId="4" fontId="6" fillId="6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2"/>
    </xf>
    <xf numFmtId="0" fontId="8" fillId="0" borderId="7" xfId="0" applyFont="1" applyBorder="1" applyAlignment="1">
      <alignment horizontal="left" vertical="top" wrapText="1" indent="2"/>
    </xf>
    <xf numFmtId="0" fontId="16" fillId="8" borderId="8" xfId="0" applyFont="1" applyFill="1" applyBorder="1" applyAlignment="1">
      <alignment horizontal="left" vertical="top" wrapText="1" indent="6"/>
    </xf>
    <xf numFmtId="4" fontId="7" fillId="9" borderId="0" xfId="0" applyNumberFormat="1" applyFont="1" applyFill="1"/>
    <xf numFmtId="4" fontId="7" fillId="10" borderId="0" xfId="0" applyNumberFormat="1" applyFont="1" applyFill="1"/>
    <xf numFmtId="4" fontId="7" fillId="11" borderId="4" xfId="0" applyNumberFormat="1" applyFont="1" applyFill="1" applyBorder="1"/>
    <xf numFmtId="0" fontId="7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 wrapText="1" indent="2"/>
    </xf>
    <xf numFmtId="4" fontId="7" fillId="0" borderId="0" xfId="0" applyNumberFormat="1" applyFont="1" applyAlignment="1">
      <alignment vertical="top"/>
    </xf>
    <xf numFmtId="4" fontId="7" fillId="6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vertical="top"/>
    </xf>
    <xf numFmtId="4" fontId="7" fillId="3" borderId="4" xfId="0" applyNumberFormat="1" applyFont="1" applyFill="1" applyBorder="1" applyAlignment="1">
      <alignment vertical="top" wrapText="1"/>
    </xf>
    <xf numFmtId="4" fontId="7" fillId="0" borderId="0" xfId="0" applyNumberFormat="1" applyFont="1" applyAlignment="1">
      <alignment vertical="top" wrapText="1"/>
    </xf>
    <xf numFmtId="0" fontId="4" fillId="0" borderId="8" xfId="0" applyFont="1" applyBorder="1" applyAlignment="1">
      <alignment horizontal="left" vertical="top" wrapText="1" indent="6"/>
    </xf>
    <xf numFmtId="4" fontId="10" fillId="3" borderId="4" xfId="0" applyNumberFormat="1" applyFont="1" applyFill="1" applyBorder="1"/>
    <xf numFmtId="0" fontId="8" fillId="0" borderId="10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 indent="4"/>
    </xf>
    <xf numFmtId="0" fontId="4" fillId="8" borderId="11" xfId="0" applyFont="1" applyFill="1" applyBorder="1" applyAlignment="1">
      <alignment horizontal="left" vertical="top" wrapText="1" indent="6"/>
    </xf>
    <xf numFmtId="4" fontId="10" fillId="11" borderId="4" xfId="0" applyNumberFormat="1" applyFont="1" applyFill="1" applyBorder="1"/>
    <xf numFmtId="0" fontId="8" fillId="0" borderId="9" xfId="0" applyFont="1" applyBorder="1" applyAlignment="1">
      <alignment horizontal="left" vertical="top" wrapText="1" indent="2"/>
    </xf>
    <xf numFmtId="0" fontId="4" fillId="8" borderId="8" xfId="0" applyFont="1" applyFill="1" applyBorder="1" applyAlignment="1">
      <alignment horizontal="left" vertical="top" wrapText="1" indent="6"/>
    </xf>
    <xf numFmtId="0" fontId="6" fillId="0" borderId="1" xfId="0" applyFont="1" applyBorder="1" applyAlignment="1">
      <alignment horizontal="left" wrapText="1"/>
    </xf>
    <xf numFmtId="0" fontId="12" fillId="7" borderId="9" xfId="0" applyFont="1" applyFill="1" applyBorder="1" applyAlignment="1">
      <alignment horizontal="left" vertical="top" wrapText="1" indent="8"/>
    </xf>
    <xf numFmtId="4" fontId="20" fillId="7" borderId="0" xfId="0" applyNumberFormat="1" applyFont="1" applyFill="1"/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 indent="3"/>
    </xf>
    <xf numFmtId="0" fontId="4" fillId="0" borderId="1" xfId="0" applyFont="1" applyBorder="1" applyAlignment="1">
      <alignment horizontal="left" vertical="top" wrapText="1" indent="6"/>
    </xf>
    <xf numFmtId="4" fontId="10" fillId="9" borderId="0" xfId="0" applyNumberFormat="1" applyFont="1" applyFill="1"/>
    <xf numFmtId="0" fontId="4" fillId="0" borderId="1" xfId="0" applyFont="1" applyBorder="1" applyAlignment="1">
      <alignment horizontal="left" vertical="top" wrapText="1" indent="5"/>
    </xf>
    <xf numFmtId="0" fontId="12" fillId="7" borderId="1" xfId="0" applyFont="1" applyFill="1" applyBorder="1" applyAlignment="1">
      <alignment horizontal="left" vertical="top" wrapText="1"/>
    </xf>
    <xf numFmtId="4" fontId="21" fillId="7" borderId="0" xfId="0" applyNumberFormat="1" applyFont="1" applyFill="1"/>
    <xf numFmtId="4" fontId="21" fillId="7" borderId="4" xfId="0" applyNumberFormat="1" applyFont="1" applyFill="1" applyBorder="1"/>
    <xf numFmtId="0" fontId="10" fillId="0" borderId="1" xfId="0" applyFont="1" applyBorder="1" applyAlignment="1">
      <alignment horizontal="left" wrapText="1"/>
    </xf>
    <xf numFmtId="0" fontId="12" fillId="7" borderId="1" xfId="0" applyFont="1" applyFill="1" applyBorder="1" applyAlignment="1">
      <alignment horizontal="left" vertical="top" wrapText="1" indent="6"/>
    </xf>
    <xf numFmtId="0" fontId="8" fillId="0" borderId="1" xfId="0" applyFont="1" applyBorder="1" applyAlignment="1">
      <alignment horizontal="left" vertical="center" wrapText="1" indent="4"/>
    </xf>
    <xf numFmtId="4" fontId="7" fillId="3" borderId="0" xfId="0" applyNumberFormat="1" applyFont="1" applyFill="1"/>
    <xf numFmtId="0" fontId="23" fillId="7" borderId="1" xfId="0" applyFont="1" applyFill="1" applyBorder="1" applyAlignment="1">
      <alignment horizontal="left" vertical="top" wrapText="1" indent="4"/>
    </xf>
    <xf numFmtId="0" fontId="4" fillId="0" borderId="1" xfId="0" applyFont="1" applyBorder="1" applyAlignment="1">
      <alignment horizontal="left" vertical="top" wrapText="1" indent="8"/>
    </xf>
    <xf numFmtId="4" fontId="7" fillId="11" borderId="0" xfId="0" applyNumberFormat="1" applyFont="1" applyFill="1"/>
    <xf numFmtId="4" fontId="7" fillId="12" borderId="0" xfId="0" applyNumberFormat="1" applyFont="1" applyFill="1"/>
    <xf numFmtId="4" fontId="7" fillId="13" borderId="0" xfId="0" applyNumberFormat="1" applyFont="1" applyFill="1"/>
    <xf numFmtId="0" fontId="14" fillId="14" borderId="1" xfId="0" applyFont="1" applyFill="1" applyBorder="1" applyAlignment="1">
      <alignment horizontal="left" vertical="top" wrapText="1" indent="8"/>
    </xf>
    <xf numFmtId="4" fontId="7" fillId="14" borderId="0" xfId="0" applyNumberFormat="1" applyFont="1" applyFill="1"/>
    <xf numFmtId="0" fontId="14" fillId="15" borderId="1" xfId="0" applyFont="1" applyFill="1" applyBorder="1" applyAlignment="1">
      <alignment horizontal="left" vertical="top" wrapText="1" indent="4"/>
    </xf>
    <xf numFmtId="4" fontId="7" fillId="15" borderId="0" xfId="0" applyNumberFormat="1" applyFont="1" applyFill="1"/>
    <xf numFmtId="0" fontId="4" fillId="0" borderId="12" xfId="0" applyFont="1" applyBorder="1" applyAlignment="1">
      <alignment horizontal="left" vertical="top" wrapText="1"/>
    </xf>
    <xf numFmtId="40" fontId="9" fillId="0" borderId="0" xfId="0" applyNumberFormat="1" applyFont="1"/>
    <xf numFmtId="40" fontId="10" fillId="6" borderId="0" xfId="0" applyNumberFormat="1" applyFont="1" applyFill="1"/>
    <xf numFmtId="40" fontId="10" fillId="2" borderId="0" xfId="0" applyNumberFormat="1" applyFont="1" applyFill="1"/>
    <xf numFmtId="40" fontId="10" fillId="3" borderId="4" xfId="1" applyNumberFormat="1" applyFont="1" applyFill="1" applyBorder="1"/>
    <xf numFmtId="40" fontId="24" fillId="4" borderId="0" xfId="0" applyNumberFormat="1" applyFont="1" applyFill="1"/>
    <xf numFmtId="40" fontId="24" fillId="5" borderId="0" xfId="1" applyNumberFormat="1" applyFont="1" applyFill="1"/>
    <xf numFmtId="0" fontId="4" fillId="0" borderId="13" xfId="0" applyFont="1" applyBorder="1" applyAlignment="1">
      <alignment horizontal="left" vertical="top" wrapText="1"/>
    </xf>
    <xf numFmtId="14" fontId="7" fillId="2" borderId="0" xfId="0" applyNumberFormat="1" applyFont="1" applyFill="1"/>
    <xf numFmtId="0" fontId="8" fillId="0" borderId="9" xfId="0" applyFont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4" borderId="0" xfId="0" applyFill="1"/>
    <xf numFmtId="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4" fontId="8" fillId="0" borderId="14" xfId="0" applyNumberFormat="1" applyFont="1" applyBorder="1" applyAlignment="1">
      <alignment horizontal="center" vertical="top" wrapText="1"/>
    </xf>
    <xf numFmtId="0" fontId="7" fillId="6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0" fillId="0" borderId="0" xfId="0" applyFill="1"/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top" wrapText="1" indent="8"/>
    </xf>
    <xf numFmtId="4" fontId="7" fillId="0" borderId="0" xfId="0" applyNumberFormat="1" applyFont="1" applyFill="1"/>
    <xf numFmtId="4" fontId="20" fillId="0" borderId="0" xfId="0" applyNumberFormat="1" applyFont="1" applyFill="1"/>
    <xf numFmtId="4" fontId="7" fillId="0" borderId="4" xfId="0" applyNumberFormat="1" applyFont="1" applyFill="1" applyBorder="1"/>
    <xf numFmtId="0" fontId="12" fillId="0" borderId="1" xfId="0" applyFont="1" applyFill="1" applyBorder="1" applyAlignment="1">
      <alignment horizontal="left" vertical="top" wrapText="1"/>
    </xf>
    <xf numFmtId="4" fontId="21" fillId="0" borderId="0" xfId="0" applyNumberFormat="1" applyFont="1" applyFill="1"/>
    <xf numFmtId="4" fontId="21" fillId="0" borderId="4" xfId="0" applyNumberFormat="1" applyFont="1" applyFill="1" applyBorder="1"/>
    <xf numFmtId="0" fontId="12" fillId="0" borderId="1" xfId="0" applyFont="1" applyFill="1" applyBorder="1" applyAlignment="1">
      <alignment horizontal="left" vertical="top" wrapText="1" indent="6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AB46-9FAC-4B4C-8919-E781C0ED6C13}">
  <dimension ref="A1:I210"/>
  <sheetViews>
    <sheetView tabSelected="1" topLeftCell="A96" workbookViewId="0">
      <selection activeCell="I11" sqref="I11"/>
    </sheetView>
  </sheetViews>
  <sheetFormatPr defaultRowHeight="15" x14ac:dyDescent="0.25"/>
  <cols>
    <col min="1" max="1" width="50.7109375" customWidth="1"/>
    <col min="2" max="6" width="15.7109375" customWidth="1"/>
    <col min="8" max="8" width="15.7109375" style="108" customWidth="1"/>
    <col min="9" max="9" width="15.7109375" customWidth="1"/>
  </cols>
  <sheetData>
    <row r="1" spans="1:9" ht="27" thickBot="1" x14ac:dyDescent="0.3">
      <c r="A1" s="105" t="s">
        <v>0</v>
      </c>
      <c r="B1" s="117">
        <v>2025</v>
      </c>
      <c r="C1" s="118"/>
      <c r="D1" s="118"/>
      <c r="E1" s="123">
        <v>2026</v>
      </c>
      <c r="F1" s="124">
        <v>2027</v>
      </c>
      <c r="G1" s="106"/>
      <c r="H1" s="121" t="s">
        <v>105</v>
      </c>
      <c r="I1" s="1" t="s">
        <v>1</v>
      </c>
    </row>
    <row r="2" spans="1:9" ht="21" x14ac:dyDescent="0.25">
      <c r="A2" s="2" t="s">
        <v>2</v>
      </c>
      <c r="B2" s="3" t="s">
        <v>3</v>
      </c>
      <c r="C2" s="3" t="s">
        <v>4</v>
      </c>
      <c r="D2" s="4" t="s">
        <v>5</v>
      </c>
      <c r="E2" s="5" t="s">
        <v>6</v>
      </c>
      <c r="F2" s="6" t="s">
        <v>6</v>
      </c>
      <c r="G2" s="3"/>
      <c r="H2" s="7"/>
      <c r="I2" s="8"/>
    </row>
    <row r="3" spans="1:9" x14ac:dyDescent="0.25">
      <c r="A3" s="107" t="s">
        <v>7</v>
      </c>
      <c r="B3" s="10"/>
      <c r="C3" s="10"/>
      <c r="D3" s="11"/>
      <c r="E3" s="12"/>
      <c r="F3" s="13"/>
      <c r="G3" s="10"/>
      <c r="H3" s="14"/>
      <c r="I3" s="8"/>
    </row>
    <row r="4" spans="1:9" ht="15" customHeight="1" x14ac:dyDescent="0.25">
      <c r="A4" s="15" t="s">
        <v>102</v>
      </c>
      <c r="B4" s="16"/>
      <c r="C4" s="17">
        <f>59.01*B114</f>
        <v>194555.97</v>
      </c>
      <c r="D4" s="18">
        <f>SUM(B4:C4)</f>
        <v>194555.97</v>
      </c>
      <c r="E4" s="19">
        <f>3000*64.77</f>
        <v>194310</v>
      </c>
      <c r="F4" s="20">
        <f>2800*71.77</f>
        <v>200956</v>
      </c>
      <c r="G4" s="16"/>
      <c r="H4" s="21">
        <v>111846.36</v>
      </c>
      <c r="I4" s="22">
        <v>174800</v>
      </c>
    </row>
    <row r="5" spans="1:9" ht="15" customHeight="1" x14ac:dyDescent="0.25">
      <c r="A5" s="9" t="s">
        <v>8</v>
      </c>
      <c r="B5" s="16"/>
      <c r="C5" s="16"/>
      <c r="D5" s="11">
        <f>SUM(B5:C5)</f>
        <v>0</v>
      </c>
      <c r="E5" s="12"/>
      <c r="F5" s="23"/>
      <c r="G5" s="16"/>
      <c r="H5" s="24"/>
      <c r="I5" s="25"/>
    </row>
    <row r="6" spans="1:9" ht="15" customHeight="1" x14ac:dyDescent="0.25">
      <c r="A6" s="26" t="s">
        <v>9</v>
      </c>
      <c r="B6" s="16"/>
      <c r="C6" s="16">
        <v>50</v>
      </c>
      <c r="D6" s="11">
        <v>50</v>
      </c>
      <c r="E6" s="12">
        <v>50</v>
      </c>
      <c r="F6" s="23">
        <v>50</v>
      </c>
      <c r="G6" s="16"/>
      <c r="H6" s="24">
        <v>11.16</v>
      </c>
      <c r="I6" s="25">
        <v>100</v>
      </c>
    </row>
    <row r="7" spans="1:9" ht="15" customHeight="1" x14ac:dyDescent="0.25">
      <c r="A7" s="27" t="s">
        <v>10</v>
      </c>
      <c r="B7" s="16"/>
      <c r="C7" s="16">
        <v>35000</v>
      </c>
      <c r="D7" s="11">
        <f>SUM(B7:C7)</f>
        <v>35000</v>
      </c>
      <c r="E7" s="12"/>
      <c r="F7" s="23"/>
      <c r="G7" s="16"/>
      <c r="H7" s="24">
        <v>35000</v>
      </c>
      <c r="I7" s="25">
        <v>35000</v>
      </c>
    </row>
    <row r="8" spans="1:9" ht="15" customHeight="1" x14ac:dyDescent="0.25">
      <c r="A8" s="26" t="s">
        <v>11</v>
      </c>
      <c r="B8" s="16">
        <v>154000</v>
      </c>
      <c r="C8" s="16"/>
      <c r="D8" s="11">
        <f>SUM(B8:C8)</f>
        <v>154000</v>
      </c>
      <c r="E8" s="12">
        <v>150000</v>
      </c>
      <c r="F8" s="23">
        <v>150000</v>
      </c>
      <c r="G8" s="16"/>
      <c r="H8" s="24">
        <v>105015.1</v>
      </c>
      <c r="I8" s="25">
        <v>159000</v>
      </c>
    </row>
    <row r="9" spans="1:9" ht="15" customHeight="1" x14ac:dyDescent="0.25">
      <c r="A9" s="28"/>
      <c r="B9" s="16"/>
      <c r="C9" s="16"/>
      <c r="D9" s="11"/>
      <c r="E9" s="12"/>
      <c r="F9" s="23"/>
      <c r="G9" s="16"/>
      <c r="H9" s="24"/>
      <c r="I9" s="25"/>
    </row>
    <row r="10" spans="1:9" ht="15" customHeight="1" x14ac:dyDescent="0.25">
      <c r="A10" s="26" t="s">
        <v>98</v>
      </c>
      <c r="B10" s="16"/>
      <c r="C10" s="16"/>
      <c r="D10" s="11"/>
      <c r="E10" s="12"/>
      <c r="F10" s="23"/>
      <c r="G10" s="16"/>
      <c r="H10" s="24">
        <v>40000</v>
      </c>
      <c r="I10" s="25">
        <v>5000</v>
      </c>
    </row>
    <row r="11" spans="1:9" x14ac:dyDescent="0.25">
      <c r="A11" s="29" t="s">
        <v>12</v>
      </c>
      <c r="B11" s="30">
        <f>B8</f>
        <v>154000</v>
      </c>
      <c r="C11" s="16">
        <f>SUM(C4:C10)</f>
        <v>229605.97</v>
      </c>
      <c r="D11" s="11">
        <f>SUM(B11:C11)</f>
        <v>383605.97</v>
      </c>
      <c r="E11" s="12"/>
      <c r="F11" s="23"/>
      <c r="G11" s="16"/>
      <c r="H11" s="24"/>
      <c r="I11" s="25"/>
    </row>
    <row r="12" spans="1:9" x14ac:dyDescent="0.25">
      <c r="A12" s="29" t="s">
        <v>13</v>
      </c>
      <c r="B12" s="16"/>
      <c r="C12" s="16"/>
      <c r="D12" s="11">
        <f>SUM(B12:C12)</f>
        <v>0</v>
      </c>
      <c r="E12" s="12"/>
      <c r="F12" s="23"/>
      <c r="G12" s="16"/>
      <c r="H12" s="24"/>
      <c r="I12" s="25"/>
    </row>
    <row r="13" spans="1:9" ht="23.25" x14ac:dyDescent="0.25">
      <c r="A13" s="31" t="s">
        <v>14</v>
      </c>
      <c r="B13" s="32">
        <f>SUM(B11:B12)</f>
        <v>154000</v>
      </c>
      <c r="C13" s="32">
        <f>SUM(C11:C12)</f>
        <v>229605.97</v>
      </c>
      <c r="D13" s="32">
        <f>SUM(B13:C13)</f>
        <v>383605.97</v>
      </c>
      <c r="E13" s="32">
        <f>SUM(E4:E12)</f>
        <v>344360</v>
      </c>
      <c r="F13" s="33">
        <f>SUM(F4:F12)</f>
        <v>351006</v>
      </c>
      <c r="G13" s="16"/>
      <c r="H13" s="24">
        <f>SUM(H4:H12)</f>
        <v>291872.62</v>
      </c>
      <c r="I13" s="8">
        <f>SUM(I4:I12)</f>
        <v>373900</v>
      </c>
    </row>
    <row r="14" spans="1:9" x14ac:dyDescent="0.25">
      <c r="A14" s="34"/>
      <c r="B14" s="16"/>
      <c r="C14" s="16"/>
      <c r="D14" s="11"/>
      <c r="E14" s="12"/>
      <c r="F14" s="23"/>
      <c r="G14" s="16"/>
      <c r="H14" s="35"/>
      <c r="I14" s="8"/>
    </row>
    <row r="15" spans="1:9" ht="24" x14ac:dyDescent="0.4">
      <c r="A15" s="36" t="s">
        <v>15</v>
      </c>
      <c r="B15" s="119">
        <v>2025</v>
      </c>
      <c r="C15" s="120"/>
      <c r="D15" s="120"/>
      <c r="E15" s="37">
        <v>2026</v>
      </c>
      <c r="F15" s="38">
        <v>2027</v>
      </c>
      <c r="G15" s="39"/>
      <c r="H15" s="40"/>
      <c r="I15" s="8"/>
    </row>
    <row r="16" spans="1:9" ht="23.25" x14ac:dyDescent="0.25">
      <c r="A16" s="41" t="s">
        <v>16</v>
      </c>
      <c r="B16" s="42" t="s">
        <v>3</v>
      </c>
      <c r="C16" s="42" t="s">
        <v>4</v>
      </c>
      <c r="D16" s="43" t="s">
        <v>5</v>
      </c>
      <c r="E16" s="44" t="s">
        <v>6</v>
      </c>
      <c r="F16" s="45" t="s">
        <v>6</v>
      </c>
      <c r="G16" s="42"/>
      <c r="H16" s="24"/>
      <c r="I16" s="8"/>
    </row>
    <row r="17" spans="1:9" x14ac:dyDescent="0.25">
      <c r="A17" s="46" t="s">
        <v>17</v>
      </c>
      <c r="B17" s="16"/>
      <c r="C17" s="16"/>
      <c r="D17" s="11"/>
      <c r="E17" s="12"/>
      <c r="F17" s="23"/>
      <c r="G17" s="16"/>
      <c r="H17" s="24"/>
      <c r="I17" s="8"/>
    </row>
    <row r="18" spans="1:9" x14ac:dyDescent="0.25">
      <c r="A18" s="47" t="s">
        <v>18</v>
      </c>
      <c r="B18" s="16"/>
      <c r="C18" s="16"/>
      <c r="D18" s="11"/>
      <c r="E18" s="12"/>
      <c r="F18" s="23"/>
      <c r="G18" s="16"/>
      <c r="H18" s="24"/>
      <c r="I18" s="8"/>
    </row>
    <row r="19" spans="1:9" x14ac:dyDescent="0.25">
      <c r="A19" s="26" t="s">
        <v>92</v>
      </c>
      <c r="B19" s="16"/>
      <c r="C19" s="16">
        <f>36406.8</f>
        <v>36406.800000000003</v>
      </c>
      <c r="D19" s="11">
        <f>SUM(B19:C19)</f>
        <v>36406.800000000003</v>
      </c>
      <c r="E19" s="12">
        <f>37813.6*1.03</f>
        <v>38948.008000000002</v>
      </c>
      <c r="F19" s="23">
        <f>38948*1.03</f>
        <v>40116.44</v>
      </c>
      <c r="G19" s="16"/>
      <c r="H19" s="24">
        <v>29059.55</v>
      </c>
      <c r="I19" s="8">
        <v>35000</v>
      </c>
    </row>
    <row r="20" spans="1:9" x14ac:dyDescent="0.25">
      <c r="A20" s="26" t="s">
        <v>19</v>
      </c>
      <c r="B20" s="16"/>
      <c r="C20" s="16">
        <v>17000</v>
      </c>
      <c r="D20" s="11">
        <f>C20+B20</f>
        <v>17000</v>
      </c>
      <c r="E20" s="12">
        <f>17000*1.03</f>
        <v>17510</v>
      </c>
      <c r="F20" s="23">
        <f>17510*1.03</f>
        <v>18035.3</v>
      </c>
      <c r="G20" s="16"/>
      <c r="H20" s="24">
        <v>14740.45</v>
      </c>
      <c r="I20" s="8">
        <v>17000</v>
      </c>
    </row>
    <row r="21" spans="1:9" x14ac:dyDescent="0.25">
      <c r="A21" s="26" t="s">
        <v>20</v>
      </c>
      <c r="B21" s="16"/>
      <c r="C21" s="16">
        <v>8532.24</v>
      </c>
      <c r="D21" s="11">
        <f>B21+C21</f>
        <v>8532.24</v>
      </c>
      <c r="E21" s="12">
        <v>9000</v>
      </c>
      <c r="F21" s="23">
        <v>9400</v>
      </c>
      <c r="G21" s="16"/>
      <c r="H21" s="24"/>
      <c r="I21" s="8"/>
    </row>
    <row r="22" spans="1:9" x14ac:dyDescent="0.25">
      <c r="A22" s="26" t="s">
        <v>21</v>
      </c>
      <c r="B22" s="16"/>
      <c r="C22" s="16">
        <v>5400</v>
      </c>
      <c r="D22" s="11">
        <f t="shared" ref="D22:D27" si="0">SUM(B22:C22)</f>
        <v>5400</v>
      </c>
      <c r="E22" s="12">
        <v>6000</v>
      </c>
      <c r="F22" s="23">
        <v>6600</v>
      </c>
      <c r="G22" s="16"/>
      <c r="H22" s="24">
        <v>27761.02</v>
      </c>
      <c r="I22" s="8">
        <v>21091.200000000001</v>
      </c>
    </row>
    <row r="23" spans="1:9" x14ac:dyDescent="0.25">
      <c r="A23" s="26" t="s">
        <v>22</v>
      </c>
      <c r="B23" s="16"/>
      <c r="C23" s="16">
        <v>2406.08</v>
      </c>
      <c r="D23" s="11">
        <f t="shared" si="0"/>
        <v>2406.08</v>
      </c>
      <c r="E23" s="12">
        <v>1000</v>
      </c>
      <c r="F23" s="23">
        <v>1000</v>
      </c>
      <c r="G23" s="16"/>
      <c r="H23" s="24">
        <v>2695.25</v>
      </c>
      <c r="I23" s="8">
        <v>3080</v>
      </c>
    </row>
    <row r="24" spans="1:9" x14ac:dyDescent="0.25">
      <c r="A24" s="26" t="s">
        <v>23</v>
      </c>
      <c r="B24" s="16"/>
      <c r="C24" s="16">
        <v>5000</v>
      </c>
      <c r="D24" s="11">
        <f t="shared" si="0"/>
        <v>5000</v>
      </c>
      <c r="E24" s="12">
        <v>5000</v>
      </c>
      <c r="F24" s="23">
        <v>5000</v>
      </c>
      <c r="G24" s="16"/>
      <c r="H24" s="24">
        <f>2334.22+1119.39</f>
        <v>3453.6099999999997</v>
      </c>
      <c r="I24" s="8">
        <v>5000</v>
      </c>
    </row>
    <row r="25" spans="1:9" x14ac:dyDescent="0.25">
      <c r="A25" s="48" t="s">
        <v>24</v>
      </c>
      <c r="B25" s="16"/>
      <c r="C25" s="16"/>
      <c r="D25" s="11">
        <f t="shared" si="0"/>
        <v>0</v>
      </c>
      <c r="E25" s="12">
        <v>1000</v>
      </c>
      <c r="F25" s="23">
        <v>1000</v>
      </c>
      <c r="G25" s="16"/>
      <c r="H25" s="24">
        <v>992.58</v>
      </c>
      <c r="I25" s="8">
        <v>1300</v>
      </c>
    </row>
    <row r="26" spans="1:9" x14ac:dyDescent="0.25">
      <c r="A26" s="48" t="s">
        <v>25</v>
      </c>
      <c r="B26" s="16"/>
      <c r="C26" s="16">
        <v>4200</v>
      </c>
      <c r="D26" s="11">
        <f t="shared" si="0"/>
        <v>4200</v>
      </c>
      <c r="E26" s="12">
        <v>4300</v>
      </c>
      <c r="F26" s="23">
        <v>4400</v>
      </c>
      <c r="G26" s="16"/>
      <c r="H26" s="24">
        <v>3350.7</v>
      </c>
      <c r="I26" s="8">
        <v>4137.12</v>
      </c>
    </row>
    <row r="27" spans="1:9" x14ac:dyDescent="0.25">
      <c r="A27" s="49" t="s">
        <v>26</v>
      </c>
      <c r="B27" s="16"/>
      <c r="C27" s="50">
        <f>SUM(C19:C26)</f>
        <v>78945.12000000001</v>
      </c>
      <c r="D27" s="11">
        <f t="shared" si="0"/>
        <v>78945.12000000001</v>
      </c>
      <c r="E27" s="51">
        <f>SUM(E19:E26)</f>
        <v>82758.008000000002</v>
      </c>
      <c r="F27" s="52">
        <f>SUM(F19:F26)</f>
        <v>85551.74</v>
      </c>
      <c r="G27" s="16"/>
      <c r="H27" s="24">
        <f>SUM(H18:H26)</f>
        <v>82053.16</v>
      </c>
      <c r="I27" s="8">
        <f>SUM(I18:I26)</f>
        <v>86608.319999999992</v>
      </c>
    </row>
    <row r="28" spans="1:9" x14ac:dyDescent="0.25">
      <c r="A28" s="53"/>
      <c r="B28" s="16"/>
      <c r="C28" s="16"/>
      <c r="D28" s="11"/>
      <c r="E28" s="12"/>
      <c r="F28" s="23"/>
      <c r="G28" s="16"/>
      <c r="H28" s="24"/>
      <c r="I28" s="8"/>
    </row>
    <row r="29" spans="1:9" x14ac:dyDescent="0.25">
      <c r="A29" s="54" t="s">
        <v>27</v>
      </c>
      <c r="B29" s="16"/>
      <c r="C29" s="16"/>
      <c r="D29" s="11"/>
      <c r="E29" s="12"/>
      <c r="F29" s="23"/>
      <c r="G29" s="16"/>
      <c r="H29" s="24"/>
      <c r="I29" s="8"/>
    </row>
    <row r="30" spans="1:9" x14ac:dyDescent="0.25">
      <c r="A30" s="26" t="s">
        <v>93</v>
      </c>
      <c r="B30" s="16"/>
      <c r="C30" s="55">
        <f>10.5*52*29.84</f>
        <v>16292.64</v>
      </c>
      <c r="D30" s="56">
        <f>SUM(B30:C30)</f>
        <v>16292.64</v>
      </c>
      <c r="E30" s="57">
        <f>16292.64*1.03</f>
        <v>16781.4192</v>
      </c>
      <c r="F30" s="58">
        <f>16781.42*1.03</f>
        <v>17284.8626</v>
      </c>
      <c r="G30" s="59"/>
      <c r="H30" s="24">
        <v>13221.05</v>
      </c>
      <c r="I30" s="8">
        <f>15621.72+2311.2</f>
        <v>17932.919999999998</v>
      </c>
    </row>
    <row r="31" spans="1:9" x14ac:dyDescent="0.25">
      <c r="A31" s="26" t="s">
        <v>94</v>
      </c>
      <c r="B31" s="16"/>
      <c r="C31" s="16">
        <f>80*29.64</f>
        <v>2371.1999999999998</v>
      </c>
      <c r="D31" s="11">
        <f>SUM(B31:C31)</f>
        <v>2371.1999999999998</v>
      </c>
      <c r="E31" s="12">
        <v>2450</v>
      </c>
      <c r="F31" s="23">
        <v>2575</v>
      </c>
      <c r="G31" s="16"/>
      <c r="H31" s="24">
        <v>520.02</v>
      </c>
      <c r="I31" s="8"/>
    </row>
    <row r="32" spans="1:9" x14ac:dyDescent="0.25">
      <c r="A32" s="26" t="s">
        <v>28</v>
      </c>
      <c r="B32" s="16"/>
      <c r="C32" s="16">
        <v>1700</v>
      </c>
      <c r="D32" s="11">
        <f>SUM(B32:C32)</f>
        <v>1700</v>
      </c>
      <c r="E32" s="12">
        <v>1700</v>
      </c>
      <c r="F32" s="23">
        <v>1700</v>
      </c>
      <c r="G32" s="16"/>
      <c r="H32" s="24">
        <v>1711.62</v>
      </c>
      <c r="I32" s="8">
        <v>1700</v>
      </c>
    </row>
    <row r="33" spans="1:9" x14ac:dyDescent="0.25">
      <c r="A33" s="48" t="s">
        <v>25</v>
      </c>
      <c r="B33" s="16"/>
      <c r="C33" s="16">
        <v>2600</v>
      </c>
      <c r="D33" s="11">
        <f>SUM(B33:C33)</f>
        <v>2600</v>
      </c>
      <c r="E33" s="12">
        <v>2600</v>
      </c>
      <c r="F33" s="23">
        <v>2600</v>
      </c>
      <c r="G33" s="16"/>
      <c r="H33" s="24">
        <v>1545.73</v>
      </c>
      <c r="I33" s="8">
        <v>1326.05</v>
      </c>
    </row>
    <row r="34" spans="1:9" x14ac:dyDescent="0.25">
      <c r="A34" s="49" t="s">
        <v>29</v>
      </c>
      <c r="B34" s="16"/>
      <c r="C34" s="50">
        <f>SUM(C30:C33)</f>
        <v>22963.84</v>
      </c>
      <c r="D34" s="11">
        <f>SUM(B34:C34)</f>
        <v>22963.84</v>
      </c>
      <c r="E34" s="51">
        <f>SUM(E30:E33)</f>
        <v>23531.4192</v>
      </c>
      <c r="F34" s="52">
        <f>SUM(F30:F33)</f>
        <v>24159.8626</v>
      </c>
      <c r="G34" s="16"/>
      <c r="H34" s="24">
        <f>SUM(H30:H33)</f>
        <v>16998.419999999998</v>
      </c>
      <c r="I34" s="8">
        <f>SUM(I30:I33)</f>
        <v>20958.969999999998</v>
      </c>
    </row>
    <row r="35" spans="1:9" x14ac:dyDescent="0.25">
      <c r="A35" s="60"/>
      <c r="B35" s="16"/>
      <c r="C35" s="16"/>
      <c r="D35" s="11"/>
      <c r="E35" s="12"/>
      <c r="F35" s="23"/>
      <c r="G35" s="16"/>
      <c r="H35" s="24"/>
      <c r="I35" s="8"/>
    </row>
    <row r="36" spans="1:9" x14ac:dyDescent="0.25">
      <c r="A36" s="54" t="s">
        <v>95</v>
      </c>
      <c r="B36" s="16"/>
      <c r="C36" s="16"/>
      <c r="D36" s="11"/>
      <c r="E36" s="12"/>
      <c r="F36" s="23"/>
      <c r="G36" s="16"/>
      <c r="H36" s="24"/>
      <c r="I36" s="8"/>
    </row>
    <row r="37" spans="1:9" x14ac:dyDescent="0.25">
      <c r="A37" s="26" t="s">
        <v>96</v>
      </c>
      <c r="B37" s="16"/>
      <c r="C37" s="16">
        <f>30*26*28.89</f>
        <v>22534.2</v>
      </c>
      <c r="D37" s="11">
        <f>SUM(B37:C37)</f>
        <v>22534.2</v>
      </c>
      <c r="E37" s="12">
        <f>22534.2*1.03</f>
        <v>23210.226000000002</v>
      </c>
      <c r="F37" s="61">
        <f>E37*1.03</f>
        <v>23906.532780000001</v>
      </c>
      <c r="G37" s="16"/>
      <c r="H37" s="24">
        <v>11527.04</v>
      </c>
      <c r="I37" s="8">
        <v>22144.2</v>
      </c>
    </row>
    <row r="38" spans="1:9" x14ac:dyDescent="0.25">
      <c r="A38" s="26" t="s">
        <v>97</v>
      </c>
      <c r="B38" s="16"/>
      <c r="C38" s="16">
        <f>15*26*29.13</f>
        <v>11360.699999999999</v>
      </c>
      <c r="D38" s="11">
        <f>SUM(B38:C38)</f>
        <v>11360.699999999999</v>
      </c>
      <c r="E38" s="12">
        <f>11360*1.03</f>
        <v>11700.800000000001</v>
      </c>
      <c r="F38" s="61">
        <f>E38*1.03</f>
        <v>12051.824000000002</v>
      </c>
      <c r="G38" s="16"/>
      <c r="H38" s="24">
        <v>7262.24</v>
      </c>
      <c r="I38" s="8">
        <v>11072.1</v>
      </c>
    </row>
    <row r="39" spans="1:9" x14ac:dyDescent="0.25">
      <c r="A39" s="62" t="s">
        <v>30</v>
      </c>
      <c r="B39" s="16"/>
      <c r="C39" s="16">
        <v>3000</v>
      </c>
      <c r="D39" s="11">
        <f>SUM(B39:C39)</f>
        <v>3000</v>
      </c>
      <c r="E39" s="12">
        <v>3200</v>
      </c>
      <c r="F39" s="61">
        <v>3200</v>
      </c>
      <c r="G39" s="16"/>
      <c r="H39" s="24">
        <v>2653.83</v>
      </c>
      <c r="I39" s="8">
        <v>2541.0500000000002</v>
      </c>
    </row>
    <row r="40" spans="1:9" x14ac:dyDescent="0.25">
      <c r="A40" s="63" t="s">
        <v>31</v>
      </c>
      <c r="B40" s="16"/>
      <c r="C40" s="16">
        <v>1000</v>
      </c>
      <c r="D40" s="11">
        <f>SUM(B40:C40)</f>
        <v>1000</v>
      </c>
      <c r="E40" s="12">
        <v>1000</v>
      </c>
      <c r="F40" s="61">
        <v>1000</v>
      </c>
      <c r="G40" s="16"/>
      <c r="H40" s="24">
        <v>132.4</v>
      </c>
      <c r="I40" s="8">
        <v>1000</v>
      </c>
    </row>
    <row r="41" spans="1:9" x14ac:dyDescent="0.25">
      <c r="A41" s="64" t="s">
        <v>32</v>
      </c>
      <c r="B41" s="16"/>
      <c r="C41" s="50">
        <f>SUM(C37:C40)</f>
        <v>37894.9</v>
      </c>
      <c r="D41" s="11">
        <f>SUM(B41:C41)</f>
        <v>37894.9</v>
      </c>
      <c r="E41" s="51">
        <f>SUM(E37:E40)</f>
        <v>39111.026000000005</v>
      </c>
      <c r="F41" s="65">
        <f>SUM(F37:F40)</f>
        <v>40158.356780000002</v>
      </c>
      <c r="G41" s="16"/>
      <c r="H41" s="24">
        <f>SUM(H37:H40)</f>
        <v>21575.510000000002</v>
      </c>
      <c r="I41" s="8">
        <f>SUM(I37:I40)</f>
        <v>36757.350000000006</v>
      </c>
    </row>
    <row r="42" spans="1:9" x14ac:dyDescent="0.25">
      <c r="A42" s="60"/>
      <c r="B42" s="16"/>
      <c r="C42" s="16"/>
      <c r="D42" s="11"/>
      <c r="E42" s="12"/>
      <c r="F42" s="23"/>
      <c r="G42" s="16"/>
      <c r="H42" s="24"/>
      <c r="I42" s="8"/>
    </row>
    <row r="43" spans="1:9" x14ac:dyDescent="0.25">
      <c r="A43" s="66" t="s">
        <v>33</v>
      </c>
      <c r="B43" s="16"/>
      <c r="C43" s="16">
        <v>1000</v>
      </c>
      <c r="D43" s="11">
        <f>SUM(B43:C43)</f>
        <v>1000</v>
      </c>
      <c r="E43" s="12">
        <v>1000</v>
      </c>
      <c r="F43" s="23">
        <v>1000</v>
      </c>
      <c r="G43" s="16"/>
      <c r="H43" s="24">
        <v>814.38</v>
      </c>
      <c r="I43" s="8">
        <v>550</v>
      </c>
    </row>
    <row r="44" spans="1:9" x14ac:dyDescent="0.25">
      <c r="A44" s="26" t="s">
        <v>34</v>
      </c>
      <c r="B44" s="16"/>
      <c r="C44" s="16">
        <v>3300</v>
      </c>
      <c r="D44" s="11">
        <f>SUM(B44:C44)</f>
        <v>3300</v>
      </c>
      <c r="E44" s="12">
        <v>3400</v>
      </c>
      <c r="F44" s="23">
        <v>3000</v>
      </c>
      <c r="G44" s="16"/>
      <c r="H44" s="24">
        <v>2081.8200000000002</v>
      </c>
      <c r="I44" s="8">
        <v>2485</v>
      </c>
    </row>
    <row r="45" spans="1:9" x14ac:dyDescent="0.25">
      <c r="A45" s="26" t="s">
        <v>35</v>
      </c>
      <c r="B45" s="16"/>
      <c r="C45" s="16"/>
      <c r="D45" s="11"/>
      <c r="E45" s="12"/>
      <c r="F45" s="23"/>
      <c r="G45" s="16"/>
      <c r="H45" s="24">
        <v>159.52000000000001</v>
      </c>
      <c r="I45" s="8"/>
    </row>
    <row r="46" spans="1:9" x14ac:dyDescent="0.25">
      <c r="A46" s="48" t="s">
        <v>36</v>
      </c>
      <c r="B46" s="16"/>
      <c r="C46" s="16">
        <v>3000</v>
      </c>
      <c r="D46" s="11">
        <f>SUM(B46:C46)</f>
        <v>3000</v>
      </c>
      <c r="E46" s="12">
        <v>3000</v>
      </c>
      <c r="F46" s="23">
        <v>3000</v>
      </c>
      <c r="G46" s="16"/>
      <c r="H46" s="24"/>
      <c r="I46" s="8">
        <v>3035</v>
      </c>
    </row>
    <row r="47" spans="1:9" x14ac:dyDescent="0.25">
      <c r="A47" s="67" t="s">
        <v>37</v>
      </c>
      <c r="B47" s="16"/>
      <c r="C47" s="50">
        <f>SUM(C43:C46)</f>
        <v>7300</v>
      </c>
      <c r="D47" s="11">
        <f>SUM(B47:C47)</f>
        <v>7300</v>
      </c>
      <c r="E47" s="51">
        <f>SUM(E43:E46)</f>
        <v>7400</v>
      </c>
      <c r="F47" s="52">
        <f>SUM(F43:F46)</f>
        <v>7000</v>
      </c>
      <c r="G47" s="16"/>
      <c r="H47" s="24">
        <f>SUM(H43:H46)</f>
        <v>3055.7200000000003</v>
      </c>
      <c r="I47" s="8">
        <f>SUM(I43:I46)</f>
        <v>6070</v>
      </c>
    </row>
    <row r="48" spans="1:9" x14ac:dyDescent="0.25">
      <c r="A48" s="68"/>
      <c r="B48" s="16"/>
      <c r="C48" s="16"/>
      <c r="D48" s="16"/>
      <c r="E48" s="12"/>
      <c r="F48" s="23"/>
      <c r="G48" s="16"/>
      <c r="H48" s="24">
        <f>H47+H41+H34+H27</f>
        <v>123682.81</v>
      </c>
      <c r="I48" s="8">
        <f>I47+I41+I34+I27</f>
        <v>150394.64000000001</v>
      </c>
    </row>
    <row r="49" spans="1:9" ht="18.75" x14ac:dyDescent="0.25">
      <c r="A49" s="69" t="s">
        <v>38</v>
      </c>
      <c r="B49" s="32"/>
      <c r="C49" s="70">
        <f>C47+C41+C34+C27+C48</f>
        <v>147103.86000000002</v>
      </c>
      <c r="D49" s="70">
        <f>SUM(B49:C49)</f>
        <v>147103.86000000002</v>
      </c>
      <c r="E49" s="70">
        <f>E47+E34+E27+E41</f>
        <v>152800.45320000002</v>
      </c>
      <c r="F49" s="33">
        <f>F47+F41+F34+F27</f>
        <v>156869.95938000001</v>
      </c>
      <c r="G49" s="16"/>
      <c r="H49" s="24"/>
      <c r="I49" s="8"/>
    </row>
    <row r="50" spans="1:9" ht="18.75" x14ac:dyDescent="0.25">
      <c r="A50" s="125"/>
      <c r="B50" s="126"/>
      <c r="C50" s="127"/>
      <c r="D50" s="127"/>
      <c r="E50" s="127"/>
      <c r="F50" s="128"/>
      <c r="G50" s="16"/>
      <c r="H50" s="24"/>
      <c r="I50" s="8"/>
    </row>
    <row r="51" spans="1:9" ht="24" x14ac:dyDescent="0.4">
      <c r="A51" s="36" t="s">
        <v>15</v>
      </c>
      <c r="B51" s="119">
        <v>2025</v>
      </c>
      <c r="C51" s="120"/>
      <c r="D51" s="120"/>
      <c r="E51" s="37">
        <v>2026</v>
      </c>
      <c r="F51" s="38">
        <v>2027</v>
      </c>
      <c r="G51" s="16"/>
      <c r="H51" s="24"/>
      <c r="I51" s="8"/>
    </row>
    <row r="52" spans="1:9" x14ac:dyDescent="0.25">
      <c r="A52" s="72" t="s">
        <v>39</v>
      </c>
      <c r="B52" s="50">
        <v>90000</v>
      </c>
      <c r="C52" s="16"/>
      <c r="D52" s="11">
        <f t="shared" ref="D52" si="1">SUM(B52:C52)</f>
        <v>90000</v>
      </c>
      <c r="E52" s="51">
        <v>85000</v>
      </c>
      <c r="F52" s="52">
        <v>80000</v>
      </c>
      <c r="G52" s="16"/>
      <c r="H52" s="24">
        <v>75000</v>
      </c>
      <c r="I52" s="8">
        <v>90000</v>
      </c>
    </row>
    <row r="53" spans="1:9" x14ac:dyDescent="0.25">
      <c r="A53" s="72" t="s">
        <v>40</v>
      </c>
      <c r="B53" s="16"/>
      <c r="C53" s="16"/>
      <c r="D53" s="11"/>
      <c r="E53" s="12"/>
      <c r="F53" s="23"/>
      <c r="G53" s="16"/>
      <c r="H53" s="24"/>
      <c r="I53" s="8"/>
    </row>
    <row r="54" spans="1:9" x14ac:dyDescent="0.25">
      <c r="A54" s="63" t="s">
        <v>41</v>
      </c>
      <c r="B54" s="16">
        <v>1000</v>
      </c>
      <c r="C54" s="16"/>
      <c r="D54" s="11">
        <f>SUM(B54:C54)</f>
        <v>1000</v>
      </c>
      <c r="E54" s="12">
        <v>1000</v>
      </c>
      <c r="F54" s="23">
        <v>1000</v>
      </c>
      <c r="G54" s="16"/>
      <c r="H54" s="24">
        <v>83.29</v>
      </c>
      <c r="I54" s="8">
        <v>1000</v>
      </c>
    </row>
    <row r="55" spans="1:9" x14ac:dyDescent="0.25">
      <c r="A55" s="63" t="s">
        <v>42</v>
      </c>
      <c r="B55" s="16">
        <v>2000</v>
      </c>
      <c r="C55" s="16"/>
      <c r="D55" s="11">
        <f>SUM(B55:C55)</f>
        <v>2000</v>
      </c>
      <c r="E55" s="12">
        <v>2000</v>
      </c>
      <c r="F55" s="23">
        <v>2000</v>
      </c>
      <c r="G55" s="16"/>
      <c r="H55" s="24">
        <v>420</v>
      </c>
      <c r="I55" s="8">
        <v>2000</v>
      </c>
    </row>
    <row r="56" spans="1:9" x14ac:dyDescent="0.25">
      <c r="A56" s="9" t="s">
        <v>43</v>
      </c>
      <c r="B56" s="16">
        <v>2000</v>
      </c>
      <c r="C56" s="16"/>
      <c r="D56" s="11">
        <f>SUM(B56:C56)</f>
        <v>2000</v>
      </c>
      <c r="E56" s="12">
        <v>2000</v>
      </c>
      <c r="F56" s="23">
        <v>2000</v>
      </c>
      <c r="G56" s="16"/>
      <c r="H56" s="24"/>
      <c r="I56" s="8">
        <v>2000</v>
      </c>
    </row>
    <row r="57" spans="1:9" x14ac:dyDescent="0.25">
      <c r="A57" s="47"/>
      <c r="B57" s="16"/>
      <c r="C57" s="16"/>
      <c r="D57" s="11"/>
      <c r="E57" s="12"/>
      <c r="F57" s="23"/>
      <c r="G57" s="16"/>
      <c r="H57" s="24"/>
      <c r="I57" s="8"/>
    </row>
    <row r="58" spans="1:9" x14ac:dyDescent="0.25">
      <c r="A58" s="63" t="s">
        <v>44</v>
      </c>
      <c r="B58" s="16">
        <v>4000</v>
      </c>
      <c r="C58" s="16"/>
      <c r="D58" s="11">
        <f>SUM(B58:C58)</f>
        <v>4000</v>
      </c>
      <c r="E58" s="12">
        <v>4000</v>
      </c>
      <c r="F58" s="23">
        <v>4000</v>
      </c>
      <c r="G58" s="16"/>
      <c r="H58" s="24"/>
      <c r="I58" s="8">
        <v>4000</v>
      </c>
    </row>
    <row r="59" spans="1:9" x14ac:dyDescent="0.25">
      <c r="A59" s="73" t="s">
        <v>45</v>
      </c>
      <c r="B59" s="74">
        <f>SUM(B54:B58)</f>
        <v>9000</v>
      </c>
      <c r="C59" s="16"/>
      <c r="D59" s="11">
        <f>SUM(B59:C59)</f>
        <v>9000</v>
      </c>
      <c r="E59" s="51">
        <f>SUM(E54:E58)</f>
        <v>9000</v>
      </c>
      <c r="F59" s="52">
        <f>SUM(F54:F58)</f>
        <v>9000</v>
      </c>
      <c r="G59" s="16"/>
      <c r="H59" s="24"/>
      <c r="I59" s="8"/>
    </row>
    <row r="60" spans="1:9" x14ac:dyDescent="0.25">
      <c r="A60" s="71"/>
      <c r="B60" s="16"/>
      <c r="C60" s="16"/>
      <c r="D60" s="11"/>
      <c r="E60" s="12"/>
      <c r="F60" s="23"/>
      <c r="G60" s="16"/>
      <c r="H60" s="24"/>
      <c r="I60" s="8"/>
    </row>
    <row r="61" spans="1:9" x14ac:dyDescent="0.25">
      <c r="A61" s="26" t="s">
        <v>46</v>
      </c>
      <c r="B61" s="16">
        <v>50000</v>
      </c>
      <c r="C61" s="16"/>
      <c r="D61" s="11">
        <f>SUM(B61:C61)</f>
        <v>50000</v>
      </c>
      <c r="E61" s="12">
        <v>50000</v>
      </c>
      <c r="F61" s="23">
        <v>50000</v>
      </c>
      <c r="G61" s="16"/>
      <c r="H61" s="24">
        <v>71890</v>
      </c>
      <c r="I61" s="8">
        <v>55000</v>
      </c>
    </row>
    <row r="62" spans="1:9" x14ac:dyDescent="0.25">
      <c r="A62" s="26" t="s">
        <v>47</v>
      </c>
      <c r="B62" s="16">
        <v>5000</v>
      </c>
      <c r="C62" s="16"/>
      <c r="D62" s="11">
        <v>5000</v>
      </c>
      <c r="E62" s="12">
        <v>5000</v>
      </c>
      <c r="F62" s="23">
        <v>5000</v>
      </c>
      <c r="G62" s="16"/>
      <c r="H62" s="24"/>
      <c r="I62" s="8">
        <v>5000</v>
      </c>
    </row>
    <row r="63" spans="1:9" x14ac:dyDescent="0.25">
      <c r="A63" s="34" t="s">
        <v>48</v>
      </c>
      <c r="B63" s="50">
        <f>SUM(B61:B62)</f>
        <v>55000</v>
      </c>
      <c r="C63" s="16"/>
      <c r="D63" s="11">
        <f>SUM(B63:C63)</f>
        <v>55000</v>
      </c>
      <c r="E63" s="51">
        <f>SUM(E61:E62)</f>
        <v>55000</v>
      </c>
      <c r="F63" s="52">
        <f>SUM(F61:F62)</f>
        <v>55000</v>
      </c>
      <c r="G63" s="16"/>
      <c r="H63" s="24"/>
      <c r="I63" s="8"/>
    </row>
    <row r="64" spans="1:9" x14ac:dyDescent="0.25">
      <c r="A64" s="75"/>
      <c r="B64" s="16"/>
      <c r="C64" s="16"/>
      <c r="D64" s="11"/>
      <c r="E64" s="12"/>
      <c r="F64" s="23"/>
      <c r="G64" s="16"/>
      <c r="H64" s="24"/>
      <c r="I64" s="8"/>
    </row>
    <row r="65" spans="1:9" ht="18.75" x14ac:dyDescent="0.3">
      <c r="A65" s="76" t="s">
        <v>49</v>
      </c>
      <c r="B65" s="77">
        <f>B63+B59+B52</f>
        <v>154000</v>
      </c>
      <c r="C65" s="32"/>
      <c r="D65" s="77">
        <f>SUM(B65:C65)</f>
        <v>154000</v>
      </c>
      <c r="E65" s="77">
        <f>E63+E59+E52</f>
        <v>149000</v>
      </c>
      <c r="F65" s="78">
        <f>F52+F59+F63</f>
        <v>144000</v>
      </c>
      <c r="G65" s="16"/>
      <c r="H65" s="24">
        <f>SUM(H52:H64)</f>
        <v>147393.28999999998</v>
      </c>
      <c r="I65" s="8">
        <f>SUM(I52:I64)</f>
        <v>159000</v>
      </c>
    </row>
    <row r="66" spans="1:9" ht="18.75" x14ac:dyDescent="0.3">
      <c r="A66" s="129"/>
      <c r="B66" s="130"/>
      <c r="C66" s="126"/>
      <c r="D66" s="130"/>
      <c r="E66" s="130"/>
      <c r="F66" s="131"/>
      <c r="G66" s="16"/>
      <c r="H66" s="24"/>
      <c r="I66" s="8"/>
    </row>
    <row r="67" spans="1:9" ht="24" x14ac:dyDescent="0.4">
      <c r="A67" s="36" t="s">
        <v>15</v>
      </c>
      <c r="B67" s="119">
        <v>2025</v>
      </c>
      <c r="C67" s="120"/>
      <c r="D67" s="120"/>
      <c r="E67" s="37">
        <v>2026</v>
      </c>
      <c r="F67" s="38">
        <v>2027</v>
      </c>
      <c r="G67" s="16"/>
      <c r="H67" s="24"/>
      <c r="I67" s="8"/>
    </row>
    <row r="68" spans="1:9" x14ac:dyDescent="0.25">
      <c r="A68" s="46" t="s">
        <v>50</v>
      </c>
      <c r="B68" s="16"/>
      <c r="C68" s="16"/>
      <c r="D68" s="11"/>
      <c r="E68" s="12"/>
      <c r="F68" s="23"/>
      <c r="G68" s="16"/>
      <c r="H68" s="24"/>
      <c r="I68" s="8"/>
    </row>
    <row r="69" spans="1:9" x14ac:dyDescent="0.25">
      <c r="A69" s="47" t="s">
        <v>51</v>
      </c>
      <c r="B69" s="16"/>
      <c r="C69" s="16"/>
      <c r="D69" s="11"/>
      <c r="E69" s="12"/>
      <c r="F69" s="23"/>
      <c r="G69" s="16"/>
      <c r="H69" s="24"/>
      <c r="I69" s="8"/>
    </row>
    <row r="70" spans="1:9" x14ac:dyDescent="0.25">
      <c r="A70" s="63" t="s">
        <v>52</v>
      </c>
      <c r="B70" s="16"/>
      <c r="C70" s="16">
        <v>900</v>
      </c>
      <c r="D70" s="11">
        <f>SUM(B70:C70)</f>
        <v>900</v>
      </c>
      <c r="E70" s="12">
        <v>900</v>
      </c>
      <c r="F70" s="82">
        <v>900</v>
      </c>
      <c r="G70" s="16"/>
      <c r="H70" s="24">
        <v>639.39</v>
      </c>
      <c r="I70" s="8">
        <v>900</v>
      </c>
    </row>
    <row r="71" spans="1:9" x14ac:dyDescent="0.25">
      <c r="A71" s="63" t="s">
        <v>53</v>
      </c>
      <c r="B71" s="16"/>
      <c r="C71" s="16">
        <v>300</v>
      </c>
      <c r="D71" s="11">
        <f>SUM(B71:C71)</f>
        <v>300</v>
      </c>
      <c r="E71" s="12">
        <v>300</v>
      </c>
      <c r="F71" s="82">
        <v>300</v>
      </c>
      <c r="G71" s="16"/>
      <c r="H71" s="24">
        <v>524.14</v>
      </c>
      <c r="I71" s="8">
        <v>100</v>
      </c>
    </row>
    <row r="72" spans="1:9" x14ac:dyDescent="0.25">
      <c r="A72" s="63" t="s">
        <v>54</v>
      </c>
      <c r="B72" s="16"/>
      <c r="C72" s="16">
        <v>700</v>
      </c>
      <c r="D72" s="11">
        <f>SUM(B72:C72)</f>
        <v>700</v>
      </c>
      <c r="E72" s="12">
        <v>700</v>
      </c>
      <c r="F72" s="82">
        <v>700</v>
      </c>
      <c r="G72" s="16"/>
      <c r="H72" s="24">
        <v>501.35</v>
      </c>
      <c r="I72" s="8">
        <v>700</v>
      </c>
    </row>
    <row r="73" spans="1:9" x14ac:dyDescent="0.25">
      <c r="A73" s="63" t="s">
        <v>55</v>
      </c>
      <c r="B73" s="16"/>
      <c r="C73" s="16">
        <v>2000</v>
      </c>
      <c r="D73" s="11">
        <f t="shared" ref="D73:D78" si="2">SUM(B73:C73)</f>
        <v>2000</v>
      </c>
      <c r="E73" s="12">
        <v>2000</v>
      </c>
      <c r="F73" s="82">
        <v>2000</v>
      </c>
      <c r="G73" s="16"/>
      <c r="H73" s="24"/>
      <c r="I73" s="8">
        <v>2000</v>
      </c>
    </row>
    <row r="74" spans="1:9" x14ac:dyDescent="0.25">
      <c r="A74" s="63" t="s">
        <v>56</v>
      </c>
      <c r="B74" s="16"/>
      <c r="C74" s="16">
        <v>6000</v>
      </c>
      <c r="D74" s="11">
        <f t="shared" si="2"/>
        <v>6000</v>
      </c>
      <c r="E74" s="12">
        <v>6000</v>
      </c>
      <c r="F74" s="82">
        <v>6000</v>
      </c>
      <c r="G74" s="16"/>
      <c r="H74" s="24">
        <v>4104.55</v>
      </c>
      <c r="I74" s="8">
        <v>6000</v>
      </c>
    </row>
    <row r="75" spans="1:9" x14ac:dyDescent="0.25">
      <c r="A75" s="63" t="s">
        <v>57</v>
      </c>
      <c r="B75" s="16"/>
      <c r="C75" s="16">
        <v>1000</v>
      </c>
      <c r="D75" s="11">
        <f t="shared" si="2"/>
        <v>1000</v>
      </c>
      <c r="E75" s="12">
        <v>1000</v>
      </c>
      <c r="F75" s="82">
        <v>1000</v>
      </c>
      <c r="G75" s="16"/>
      <c r="H75" s="24"/>
      <c r="I75" s="8">
        <v>1000</v>
      </c>
    </row>
    <row r="76" spans="1:9" x14ac:dyDescent="0.25">
      <c r="A76" s="63" t="s">
        <v>58</v>
      </c>
      <c r="B76" s="16"/>
      <c r="C76" s="16">
        <v>615</v>
      </c>
      <c r="D76" s="11">
        <f t="shared" si="2"/>
        <v>615</v>
      </c>
      <c r="E76" s="12">
        <v>615</v>
      </c>
      <c r="F76" s="82">
        <v>615</v>
      </c>
      <c r="G76" s="16"/>
      <c r="H76" s="24">
        <v>300</v>
      </c>
      <c r="I76" s="8">
        <v>615</v>
      </c>
    </row>
    <row r="77" spans="1:9" x14ac:dyDescent="0.25">
      <c r="A77" s="63" t="s">
        <v>59</v>
      </c>
      <c r="B77" s="16"/>
      <c r="C77" s="16">
        <v>2000</v>
      </c>
      <c r="D77" s="11">
        <f t="shared" si="2"/>
        <v>2000</v>
      </c>
      <c r="E77" s="12">
        <v>2000</v>
      </c>
      <c r="F77" s="82">
        <v>2000</v>
      </c>
      <c r="G77" s="16"/>
      <c r="H77" s="24">
        <v>330</v>
      </c>
      <c r="I77" s="8">
        <v>2000</v>
      </c>
    </row>
    <row r="78" spans="1:9" x14ac:dyDescent="0.25">
      <c r="A78" s="63" t="s">
        <v>60</v>
      </c>
      <c r="B78" s="16"/>
      <c r="C78" s="16">
        <v>3000</v>
      </c>
      <c r="D78" s="11">
        <f t="shared" si="2"/>
        <v>3000</v>
      </c>
      <c r="E78" s="12">
        <v>3000</v>
      </c>
      <c r="F78" s="82">
        <v>3000</v>
      </c>
      <c r="G78" s="16"/>
      <c r="H78" s="24"/>
      <c r="I78" s="8">
        <v>3000</v>
      </c>
    </row>
    <row r="79" spans="1:9" x14ac:dyDescent="0.25">
      <c r="A79" s="63" t="s">
        <v>61</v>
      </c>
      <c r="B79" s="16"/>
      <c r="C79" s="16">
        <v>125</v>
      </c>
      <c r="D79" s="11"/>
      <c r="E79" s="12">
        <v>125</v>
      </c>
      <c r="F79" s="82">
        <v>125</v>
      </c>
      <c r="G79" s="16"/>
      <c r="H79" s="24">
        <v>250</v>
      </c>
      <c r="I79" s="8"/>
    </row>
    <row r="80" spans="1:9" x14ac:dyDescent="0.25">
      <c r="A80" s="63" t="s">
        <v>62</v>
      </c>
      <c r="B80" s="16"/>
      <c r="C80" s="16">
        <f>175*12</f>
        <v>2100</v>
      </c>
      <c r="D80" s="11">
        <f>SUM(B80:C80)</f>
        <v>2100</v>
      </c>
      <c r="E80" s="12">
        <v>2100</v>
      </c>
      <c r="F80" s="82">
        <v>2100</v>
      </c>
      <c r="G80" s="16"/>
      <c r="H80" s="24">
        <v>1750</v>
      </c>
      <c r="I80" s="8">
        <v>1050</v>
      </c>
    </row>
    <row r="81" spans="1:9" x14ac:dyDescent="0.25">
      <c r="A81" s="63" t="s">
        <v>104</v>
      </c>
      <c r="B81" s="16"/>
      <c r="C81" s="16">
        <f>9*242+3*202</f>
        <v>2784</v>
      </c>
      <c r="D81" s="11">
        <f>SUM(B81:C81)</f>
        <v>2784</v>
      </c>
      <c r="E81" s="12">
        <f>250*12</f>
        <v>3000</v>
      </c>
      <c r="F81" s="82">
        <f>250*12</f>
        <v>3000</v>
      </c>
      <c r="G81" s="16"/>
      <c r="H81" s="24">
        <v>1332</v>
      </c>
      <c r="I81" s="8">
        <v>3204</v>
      </c>
    </row>
    <row r="82" spans="1:9" x14ac:dyDescent="0.25">
      <c r="A82" s="79" t="s">
        <v>103</v>
      </c>
      <c r="B82" s="16"/>
      <c r="C82" s="16"/>
      <c r="D82" s="11"/>
      <c r="E82" s="12"/>
      <c r="F82" s="23"/>
      <c r="G82" s="16"/>
      <c r="H82" s="24"/>
      <c r="I82" s="8"/>
    </row>
    <row r="83" spans="1:9" ht="18.75" x14ac:dyDescent="0.25">
      <c r="A83" s="80" t="s">
        <v>63</v>
      </c>
      <c r="B83" s="32"/>
      <c r="C83" s="32">
        <f>SUM(C70:C82)</f>
        <v>21524</v>
      </c>
      <c r="D83" s="32">
        <f>SUM(B83:C83)</f>
        <v>21524</v>
      </c>
      <c r="E83" s="32">
        <f>SUM(E70:E82)</f>
        <v>21740</v>
      </c>
      <c r="F83" s="33">
        <f>SUM(F70:F82)</f>
        <v>21740</v>
      </c>
      <c r="G83" s="16"/>
      <c r="H83" s="24">
        <f>SUM(H70:H82)</f>
        <v>9731.43</v>
      </c>
      <c r="I83" s="8">
        <f>SUM(I70:I82)</f>
        <v>20569</v>
      </c>
    </row>
    <row r="84" spans="1:9" ht="18.75" x14ac:dyDescent="0.25">
      <c r="A84" s="132"/>
      <c r="B84" s="126"/>
      <c r="C84" s="126"/>
      <c r="D84" s="126"/>
      <c r="E84" s="126"/>
      <c r="F84" s="128"/>
      <c r="G84" s="16"/>
      <c r="H84" s="24"/>
      <c r="I84" s="8"/>
    </row>
    <row r="85" spans="1:9" ht="24" x14ac:dyDescent="0.4">
      <c r="A85" s="36" t="s">
        <v>15</v>
      </c>
      <c r="B85" s="119">
        <v>2025</v>
      </c>
      <c r="C85" s="120"/>
      <c r="D85" s="120"/>
      <c r="E85" s="37">
        <v>2026</v>
      </c>
      <c r="F85" s="38">
        <v>2027</v>
      </c>
      <c r="G85" s="16"/>
      <c r="H85" s="24"/>
      <c r="I85" s="8"/>
    </row>
    <row r="86" spans="1:9" x14ac:dyDescent="0.25">
      <c r="A86" s="47" t="s">
        <v>64</v>
      </c>
      <c r="B86" s="42" t="s">
        <v>3</v>
      </c>
      <c r="C86" s="42" t="s">
        <v>50</v>
      </c>
      <c r="D86" s="114">
        <v>2025</v>
      </c>
      <c r="E86" s="115">
        <v>2026</v>
      </c>
      <c r="F86" s="116">
        <v>2027</v>
      </c>
      <c r="G86" s="16"/>
      <c r="H86" s="24"/>
      <c r="I86" s="8"/>
    </row>
    <row r="87" spans="1:9" x14ac:dyDescent="0.25">
      <c r="A87" s="71"/>
      <c r="B87" s="16"/>
      <c r="C87" s="16"/>
      <c r="D87" s="11"/>
      <c r="E87" s="12"/>
      <c r="F87" s="23"/>
      <c r="G87" s="16"/>
      <c r="H87" s="24">
        <v>3053.24</v>
      </c>
      <c r="I87" s="8"/>
    </row>
    <row r="88" spans="1:9" ht="24" x14ac:dyDescent="0.25">
      <c r="A88" s="63" t="s">
        <v>65</v>
      </c>
      <c r="B88" s="16"/>
      <c r="C88" s="16">
        <v>3500</v>
      </c>
      <c r="D88" s="11">
        <f t="shared" ref="D88:D94" si="3">SUM(B88:C88)</f>
        <v>3500</v>
      </c>
      <c r="E88" s="12">
        <v>4000</v>
      </c>
      <c r="F88" s="23">
        <v>4500</v>
      </c>
      <c r="G88" s="16"/>
      <c r="H88" s="24">
        <v>3071.43</v>
      </c>
      <c r="I88" s="8">
        <v>5000</v>
      </c>
    </row>
    <row r="89" spans="1:9" x14ac:dyDescent="0.25">
      <c r="A89" s="81" t="s">
        <v>66</v>
      </c>
      <c r="B89" s="16"/>
      <c r="C89" s="16">
        <f>4.25*3297</f>
        <v>14012.25</v>
      </c>
      <c r="D89" s="11">
        <f t="shared" si="3"/>
        <v>14012.25</v>
      </c>
      <c r="E89" s="12">
        <f>4.25*3000</f>
        <v>12750</v>
      </c>
      <c r="F89" s="23">
        <f>4.25*2800</f>
        <v>11900</v>
      </c>
      <c r="G89" s="16"/>
      <c r="H89" s="24">
        <v>14333.6</v>
      </c>
      <c r="I89" s="8">
        <v>14858</v>
      </c>
    </row>
    <row r="90" spans="1:9" x14ac:dyDescent="0.25">
      <c r="A90" s="63" t="s">
        <v>67</v>
      </c>
      <c r="B90" s="16"/>
      <c r="C90" s="16">
        <f>10.84*3297</f>
        <v>35739.479999999996</v>
      </c>
      <c r="D90" s="11">
        <f t="shared" si="3"/>
        <v>35739.479999999996</v>
      </c>
      <c r="E90" s="12">
        <f>10.84*3000</f>
        <v>32520</v>
      </c>
      <c r="F90" s="23">
        <f>10.84*2800</f>
        <v>30352</v>
      </c>
      <c r="G90" s="16"/>
      <c r="H90" s="24">
        <v>43143.03</v>
      </c>
      <c r="I90" s="8">
        <v>31394.080000000002</v>
      </c>
    </row>
    <row r="91" spans="1:9" x14ac:dyDescent="0.25">
      <c r="A91" s="63" t="s">
        <v>68</v>
      </c>
      <c r="B91" s="16"/>
      <c r="C91" s="16">
        <v>5000</v>
      </c>
      <c r="D91" s="11">
        <f t="shared" si="3"/>
        <v>5000</v>
      </c>
      <c r="E91" s="12">
        <v>5000</v>
      </c>
      <c r="F91" s="23">
        <v>5000</v>
      </c>
      <c r="G91" s="16"/>
      <c r="H91" s="24">
        <v>750</v>
      </c>
      <c r="I91" s="8">
        <v>10000</v>
      </c>
    </row>
    <row r="92" spans="1:9" x14ac:dyDescent="0.25">
      <c r="A92" s="63" t="s">
        <v>69</v>
      </c>
      <c r="B92" s="16"/>
      <c r="C92" s="16">
        <v>2500</v>
      </c>
      <c r="D92" s="11">
        <f t="shared" si="3"/>
        <v>2500</v>
      </c>
      <c r="E92" s="12">
        <v>5000</v>
      </c>
      <c r="F92" s="23">
        <v>2500</v>
      </c>
      <c r="G92" s="16"/>
      <c r="H92" s="24">
        <v>1840.82</v>
      </c>
      <c r="I92" s="8">
        <v>5000</v>
      </c>
    </row>
    <row r="93" spans="1:9" x14ac:dyDescent="0.25">
      <c r="A93" s="63" t="s">
        <v>70</v>
      </c>
      <c r="B93" s="16"/>
      <c r="C93" s="16">
        <v>500</v>
      </c>
      <c r="D93" s="11">
        <f t="shared" si="3"/>
        <v>500</v>
      </c>
      <c r="E93" s="12">
        <v>500</v>
      </c>
      <c r="F93" s="23">
        <v>500</v>
      </c>
      <c r="G93" s="16"/>
      <c r="H93" s="24"/>
      <c r="I93" s="8">
        <v>500</v>
      </c>
    </row>
    <row r="94" spans="1:9" x14ac:dyDescent="0.25">
      <c r="A94" s="63" t="s">
        <v>71</v>
      </c>
      <c r="B94" s="16"/>
      <c r="C94" s="16">
        <v>3000</v>
      </c>
      <c r="D94" s="11">
        <f t="shared" si="3"/>
        <v>3000</v>
      </c>
      <c r="E94" s="12"/>
      <c r="F94" s="23"/>
      <c r="G94" s="16"/>
      <c r="H94" s="24">
        <v>1980.67</v>
      </c>
      <c r="I94" s="8">
        <v>3000</v>
      </c>
    </row>
    <row r="95" spans="1:9" x14ac:dyDescent="0.25">
      <c r="A95" s="63" t="s">
        <v>72</v>
      </c>
      <c r="B95" s="16"/>
      <c r="C95" s="16">
        <v>5000</v>
      </c>
      <c r="D95" s="11">
        <v>7000</v>
      </c>
      <c r="E95" s="12">
        <v>7200</v>
      </c>
      <c r="F95" s="23">
        <v>7400</v>
      </c>
      <c r="G95" s="16"/>
      <c r="H95" s="24">
        <v>5070</v>
      </c>
      <c r="I95" s="8">
        <v>5000</v>
      </c>
    </row>
    <row r="96" spans="1:9" x14ac:dyDescent="0.25">
      <c r="A96" s="63" t="s">
        <v>73</v>
      </c>
      <c r="B96" s="16"/>
      <c r="C96" s="16">
        <v>11000</v>
      </c>
      <c r="D96" s="11">
        <f>SUM(B96:C96)</f>
        <v>11000</v>
      </c>
      <c r="E96" s="12">
        <v>12000</v>
      </c>
      <c r="F96" s="23">
        <v>13000</v>
      </c>
      <c r="G96" s="16"/>
      <c r="H96" s="24">
        <v>10825</v>
      </c>
      <c r="I96" s="8">
        <v>7500</v>
      </c>
    </row>
    <row r="97" spans="1:9" ht="18.75" x14ac:dyDescent="0.25">
      <c r="A97" s="83" t="s">
        <v>74</v>
      </c>
      <c r="B97" s="32" t="s">
        <v>75</v>
      </c>
      <c r="C97" s="32">
        <f>SUM(C88:C96)</f>
        <v>80251.73</v>
      </c>
      <c r="D97" s="32">
        <f>SUM(B97:C97)</f>
        <v>80251.73</v>
      </c>
      <c r="E97" s="32">
        <f>SUM(E88:E96)</f>
        <v>78970</v>
      </c>
      <c r="F97" s="33">
        <f>SUM(F88:F96)</f>
        <v>75152</v>
      </c>
      <c r="G97" s="16"/>
      <c r="H97" s="24">
        <f>SUM(H87:H96)</f>
        <v>84067.790000000008</v>
      </c>
      <c r="I97" s="8">
        <f>SUM(I88:I96)</f>
        <v>82252.08</v>
      </c>
    </row>
    <row r="98" spans="1:9" x14ac:dyDescent="0.25">
      <c r="A98" s="71"/>
      <c r="B98" s="16"/>
      <c r="C98" s="16"/>
      <c r="D98" s="11"/>
      <c r="E98" s="12"/>
      <c r="F98" s="23"/>
      <c r="G98" s="16"/>
      <c r="H98" s="24"/>
      <c r="I98" s="8"/>
    </row>
    <row r="99" spans="1:9" x14ac:dyDescent="0.25">
      <c r="A99" s="73" t="s">
        <v>76</v>
      </c>
      <c r="B99" s="16"/>
      <c r="C99" s="16"/>
      <c r="D99" s="114">
        <v>2025</v>
      </c>
      <c r="E99" s="115">
        <v>2026</v>
      </c>
      <c r="F99" s="116">
        <v>2027</v>
      </c>
      <c r="G99" s="16"/>
      <c r="H99" s="24"/>
      <c r="I99" s="8"/>
    </row>
    <row r="100" spans="1:9" x14ac:dyDescent="0.25">
      <c r="A100" s="84" t="s">
        <v>77</v>
      </c>
      <c r="B100" s="16"/>
      <c r="C100" s="85">
        <f>C97+C83</f>
        <v>101775.73</v>
      </c>
      <c r="D100" s="11">
        <f t="shared" ref="D100:D105" si="4">SUM(B100:C100)</f>
        <v>101775.73</v>
      </c>
      <c r="E100" s="12">
        <f>E83+E97</f>
        <v>100710</v>
      </c>
      <c r="F100" s="23">
        <f>F97+F88</f>
        <v>79652</v>
      </c>
      <c r="G100" s="16"/>
      <c r="H100" s="24">
        <f>H97+H83</f>
        <v>93799.22</v>
      </c>
      <c r="I100" s="8">
        <f>I83+I97</f>
        <v>102821.08</v>
      </c>
    </row>
    <row r="101" spans="1:9" x14ac:dyDescent="0.25">
      <c r="A101" s="73" t="s">
        <v>78</v>
      </c>
      <c r="B101" s="16">
        <v>55000</v>
      </c>
      <c r="C101" s="16"/>
      <c r="D101" s="11">
        <f t="shared" si="4"/>
        <v>55000</v>
      </c>
      <c r="E101" s="12">
        <v>55000</v>
      </c>
      <c r="F101" s="23">
        <v>55000</v>
      </c>
      <c r="G101" s="16"/>
      <c r="H101" s="24"/>
      <c r="I101" s="8"/>
    </row>
    <row r="102" spans="1:9" x14ac:dyDescent="0.25">
      <c r="A102" s="29" t="s">
        <v>79</v>
      </c>
      <c r="B102" s="86">
        <v>9000</v>
      </c>
      <c r="C102" s="16"/>
      <c r="D102" s="11">
        <f t="shared" si="4"/>
        <v>9000</v>
      </c>
      <c r="E102" s="12">
        <v>9000</v>
      </c>
      <c r="F102" s="23">
        <v>9000</v>
      </c>
      <c r="G102" s="16"/>
      <c r="H102" s="24">
        <f>H65</f>
        <v>147393.28999999998</v>
      </c>
      <c r="I102" s="8">
        <f>I65</f>
        <v>159000</v>
      </c>
    </row>
    <row r="103" spans="1:9" x14ac:dyDescent="0.25">
      <c r="A103" s="29" t="s">
        <v>80</v>
      </c>
      <c r="B103" s="16"/>
      <c r="C103" s="87">
        <f>C49</f>
        <v>147103.86000000002</v>
      </c>
      <c r="D103" s="11">
        <f t="shared" si="4"/>
        <v>147103.86000000002</v>
      </c>
      <c r="E103" s="12">
        <f>E49</f>
        <v>152800.45320000002</v>
      </c>
      <c r="F103" s="23">
        <f>F49</f>
        <v>156869.95938000001</v>
      </c>
      <c r="G103" s="16"/>
      <c r="H103" s="24">
        <f>H48</f>
        <v>123682.81</v>
      </c>
      <c r="I103" s="8">
        <f>150394.64</f>
        <v>150394.64000000001</v>
      </c>
    </row>
    <row r="104" spans="1:9" x14ac:dyDescent="0.25">
      <c r="A104" s="29" t="s">
        <v>81</v>
      </c>
      <c r="B104" s="16">
        <f>B12+B52</f>
        <v>90000</v>
      </c>
      <c r="C104" s="16"/>
      <c r="D104" s="11">
        <f t="shared" si="4"/>
        <v>90000</v>
      </c>
      <c r="E104" s="12">
        <v>80000</v>
      </c>
      <c r="F104" s="23">
        <v>80000</v>
      </c>
      <c r="G104" s="16"/>
      <c r="H104" s="24">
        <f>H97+H83</f>
        <v>93799.22</v>
      </c>
      <c r="I104" s="8">
        <f>I97+I83</f>
        <v>102821.08</v>
      </c>
    </row>
    <row r="105" spans="1:9" x14ac:dyDescent="0.25">
      <c r="A105" s="29" t="s">
        <v>82</v>
      </c>
      <c r="B105" s="16">
        <f>SUM(B101:B104)</f>
        <v>154000</v>
      </c>
      <c r="C105" s="16">
        <f>C100+C103</f>
        <v>248879.59000000003</v>
      </c>
      <c r="D105" s="11">
        <f t="shared" si="4"/>
        <v>402879.59</v>
      </c>
      <c r="E105" s="12">
        <f>SUM(E100:E104)</f>
        <v>397510.45319999999</v>
      </c>
      <c r="F105" s="23">
        <f>SUM(F100:F104)</f>
        <v>380521.95938000001</v>
      </c>
      <c r="G105" s="16"/>
      <c r="H105" s="24">
        <f>SUM(H102:H104)</f>
        <v>364875.31999999995</v>
      </c>
      <c r="I105" s="8">
        <f>SUM(I102:I104)</f>
        <v>412215.72000000003</v>
      </c>
    </row>
    <row r="106" spans="1:9" x14ac:dyDescent="0.25">
      <c r="A106" s="71"/>
      <c r="B106" s="16"/>
      <c r="C106" s="16"/>
      <c r="D106" s="11"/>
      <c r="E106" s="12"/>
      <c r="F106" s="23"/>
      <c r="G106" s="16"/>
      <c r="H106" s="24"/>
      <c r="I106" s="8"/>
    </row>
    <row r="107" spans="1:9" x14ac:dyDescent="0.25">
      <c r="A107" s="71"/>
      <c r="B107" s="16"/>
      <c r="C107" s="16"/>
      <c r="D107" s="11"/>
      <c r="E107" s="12"/>
      <c r="F107" s="23"/>
      <c r="G107" s="16"/>
      <c r="H107" s="24"/>
      <c r="I107" s="8"/>
    </row>
    <row r="108" spans="1:9" x14ac:dyDescent="0.25">
      <c r="A108" s="88" t="s">
        <v>83</v>
      </c>
      <c r="B108" s="89">
        <f>B13</f>
        <v>154000</v>
      </c>
      <c r="C108" s="89">
        <f>C13</f>
        <v>229605.97</v>
      </c>
      <c r="D108" s="11">
        <f>SUM(B108:C108)</f>
        <v>383605.97</v>
      </c>
      <c r="E108" s="12">
        <f>E13</f>
        <v>344360</v>
      </c>
      <c r="F108" s="23">
        <f>F13</f>
        <v>351006</v>
      </c>
      <c r="G108" s="16"/>
      <c r="H108" s="24">
        <f>H13</f>
        <v>291872.62</v>
      </c>
      <c r="I108" s="8">
        <f>I13</f>
        <v>373900</v>
      </c>
    </row>
    <row r="109" spans="1:9" x14ac:dyDescent="0.25">
      <c r="A109" s="90" t="s">
        <v>84</v>
      </c>
      <c r="B109" s="91">
        <f>B105</f>
        <v>154000</v>
      </c>
      <c r="C109" s="91">
        <f>C105</f>
        <v>248879.59000000003</v>
      </c>
      <c r="D109" s="11">
        <f>SUM(B109:C109)</f>
        <v>402879.59</v>
      </c>
      <c r="E109" s="12">
        <f>E105</f>
        <v>397510.45319999999</v>
      </c>
      <c r="F109" s="23">
        <f>F105</f>
        <v>380521.95938000001</v>
      </c>
      <c r="G109" s="16"/>
      <c r="H109" s="24"/>
      <c r="I109" s="8"/>
    </row>
    <row r="110" spans="1:9" ht="15.75" thickBot="1" x14ac:dyDescent="0.3">
      <c r="A110" s="92" t="s">
        <v>85</v>
      </c>
      <c r="B110" s="16">
        <f>B108-B109</f>
        <v>0</v>
      </c>
      <c r="C110" s="93">
        <f>C108-C109</f>
        <v>-19273.620000000024</v>
      </c>
      <c r="D110" s="94">
        <f>SUM(B110:C110)</f>
        <v>-19273.620000000024</v>
      </c>
      <c r="E110" s="95">
        <f>E108-E109</f>
        <v>-53150.453199999989</v>
      </c>
      <c r="F110" s="96">
        <f>F108-F109</f>
        <v>-29515.959380000015</v>
      </c>
      <c r="G110" s="30"/>
      <c r="H110" s="97">
        <f>H108-H105</f>
        <v>-73002.699999999953</v>
      </c>
      <c r="I110" s="98">
        <f>I108-I105</f>
        <v>-38315.72000000003</v>
      </c>
    </row>
    <row r="111" spans="1:9" ht="16.5" thickTop="1" thickBot="1" x14ac:dyDescent="0.3">
      <c r="A111" s="99" t="s">
        <v>86</v>
      </c>
      <c r="B111" s="16"/>
      <c r="C111" s="16"/>
      <c r="D111" s="16"/>
      <c r="E111" s="12"/>
      <c r="F111" s="23"/>
      <c r="G111" s="16"/>
      <c r="H111" s="24"/>
      <c r="I111" s="8"/>
    </row>
    <row r="112" spans="1:9" ht="15.75" thickTop="1" x14ac:dyDescent="0.25">
      <c r="B112" s="109" t="s">
        <v>101</v>
      </c>
      <c r="C112" s="109" t="s">
        <v>99</v>
      </c>
      <c r="D112" s="109" t="s">
        <v>100</v>
      </c>
      <c r="E112" s="12"/>
      <c r="F112" s="23"/>
      <c r="G112" s="16"/>
      <c r="H112" s="24"/>
      <c r="I112" s="8"/>
    </row>
    <row r="113" spans="1:9" x14ac:dyDescent="0.25">
      <c r="B113" s="110">
        <v>45291</v>
      </c>
      <c r="C113" s="110">
        <v>45657</v>
      </c>
      <c r="D113" s="110">
        <v>46022</v>
      </c>
      <c r="E113" s="100"/>
      <c r="F113" s="23"/>
      <c r="G113" s="16"/>
      <c r="H113" s="24"/>
      <c r="I113" s="8"/>
    </row>
    <row r="114" spans="1:9" x14ac:dyDescent="0.25">
      <c r="A114" s="101" t="s">
        <v>87</v>
      </c>
      <c r="B114" s="111">
        <v>3297</v>
      </c>
      <c r="C114" s="112">
        <v>3000</v>
      </c>
      <c r="D114" s="109">
        <v>2800</v>
      </c>
      <c r="E114" s="12"/>
      <c r="F114" s="23"/>
      <c r="G114" s="16"/>
      <c r="H114" s="24"/>
      <c r="I114" s="8"/>
    </row>
    <row r="115" spans="1:9" x14ac:dyDescent="0.25">
      <c r="A115" s="9" t="s">
        <v>88</v>
      </c>
      <c r="B115" s="113">
        <v>43.92</v>
      </c>
      <c r="C115" s="109">
        <v>50.1</v>
      </c>
      <c r="D115" s="109">
        <v>57.1</v>
      </c>
      <c r="E115" s="12"/>
      <c r="F115" s="23"/>
      <c r="G115" s="16"/>
      <c r="H115" s="24"/>
      <c r="I115" s="8"/>
    </row>
    <row r="116" spans="1:9" x14ac:dyDescent="0.25">
      <c r="A116" s="9" t="s">
        <v>89</v>
      </c>
      <c r="B116" s="113">
        <v>4.25</v>
      </c>
      <c r="C116" s="109">
        <v>4.25</v>
      </c>
      <c r="D116" s="109">
        <v>4.25</v>
      </c>
      <c r="E116" s="12"/>
      <c r="F116" s="23"/>
      <c r="G116" s="16"/>
      <c r="H116" s="24"/>
      <c r="I116" s="8"/>
    </row>
    <row r="117" spans="1:9" x14ac:dyDescent="0.25">
      <c r="A117" s="9" t="s">
        <v>90</v>
      </c>
      <c r="B117" s="113">
        <v>10.84</v>
      </c>
      <c r="C117" s="109">
        <v>10.84</v>
      </c>
      <c r="D117" s="109">
        <v>10.84</v>
      </c>
      <c r="E117" s="12"/>
      <c r="F117" s="23"/>
      <c r="G117" s="16"/>
      <c r="H117" s="24"/>
      <c r="I117" s="8"/>
    </row>
    <row r="118" spans="1:9" x14ac:dyDescent="0.25">
      <c r="A118" s="9" t="s">
        <v>91</v>
      </c>
      <c r="B118" s="113">
        <f>SUM(B115:B117)</f>
        <v>59.010000000000005</v>
      </c>
      <c r="C118" s="109">
        <f>SUM(C115:C117)</f>
        <v>65.19</v>
      </c>
      <c r="D118" s="109">
        <f>SUM(D115:D117)</f>
        <v>72.19</v>
      </c>
      <c r="E118" s="12"/>
      <c r="F118" s="23"/>
      <c r="G118" s="16"/>
      <c r="H118" s="24"/>
      <c r="I118" s="8"/>
    </row>
    <row r="119" spans="1:9" x14ac:dyDescent="0.25">
      <c r="A119" s="53"/>
      <c r="B119" s="53"/>
      <c r="D119" s="53"/>
      <c r="E119" s="102"/>
      <c r="F119" s="103"/>
      <c r="G119" s="53"/>
      <c r="H119" s="104"/>
      <c r="I119" s="8"/>
    </row>
    <row r="120" spans="1:9" x14ac:dyDescent="0.25">
      <c r="H120" s="122"/>
    </row>
    <row r="121" spans="1:9" x14ac:dyDescent="0.25">
      <c r="H121" s="122"/>
    </row>
    <row r="122" spans="1:9" x14ac:dyDescent="0.25">
      <c r="H122" s="122"/>
    </row>
    <row r="123" spans="1:9" x14ac:dyDescent="0.25">
      <c r="H123" s="122"/>
    </row>
    <row r="124" spans="1:9" x14ac:dyDescent="0.25">
      <c r="H124" s="122"/>
    </row>
    <row r="125" spans="1:9" x14ac:dyDescent="0.25">
      <c r="H125" s="122"/>
    </row>
    <row r="126" spans="1:9" x14ac:dyDescent="0.25">
      <c r="H126" s="122"/>
    </row>
    <row r="127" spans="1:9" x14ac:dyDescent="0.25">
      <c r="H127" s="122"/>
    </row>
    <row r="128" spans="1:9" x14ac:dyDescent="0.25">
      <c r="H128" s="122"/>
    </row>
    <row r="129" spans="8:8" x14ac:dyDescent="0.25">
      <c r="H129" s="122"/>
    </row>
    <row r="130" spans="8:8" x14ac:dyDescent="0.25">
      <c r="H130" s="122"/>
    </row>
    <row r="131" spans="8:8" x14ac:dyDescent="0.25">
      <c r="H131" s="122"/>
    </row>
    <row r="132" spans="8:8" x14ac:dyDescent="0.25">
      <c r="H132" s="122"/>
    </row>
    <row r="133" spans="8:8" x14ac:dyDescent="0.25">
      <c r="H133" s="122"/>
    </row>
    <row r="134" spans="8:8" x14ac:dyDescent="0.25">
      <c r="H134" s="122"/>
    </row>
    <row r="135" spans="8:8" x14ac:dyDescent="0.25">
      <c r="H135" s="122"/>
    </row>
    <row r="136" spans="8:8" x14ac:dyDescent="0.25">
      <c r="H136" s="122"/>
    </row>
    <row r="137" spans="8:8" x14ac:dyDescent="0.25">
      <c r="H137" s="122"/>
    </row>
    <row r="138" spans="8:8" x14ac:dyDescent="0.25">
      <c r="H138" s="122"/>
    </row>
    <row r="139" spans="8:8" x14ac:dyDescent="0.25">
      <c r="H139" s="122"/>
    </row>
    <row r="140" spans="8:8" x14ac:dyDescent="0.25">
      <c r="H140" s="122"/>
    </row>
    <row r="141" spans="8:8" x14ac:dyDescent="0.25">
      <c r="H141" s="122"/>
    </row>
    <row r="142" spans="8:8" x14ac:dyDescent="0.25">
      <c r="H142" s="122"/>
    </row>
    <row r="143" spans="8:8" x14ac:dyDescent="0.25">
      <c r="H143" s="122"/>
    </row>
    <row r="144" spans="8:8" x14ac:dyDescent="0.25">
      <c r="H144" s="122"/>
    </row>
    <row r="145" spans="8:8" x14ac:dyDescent="0.25">
      <c r="H145" s="122"/>
    </row>
    <row r="146" spans="8:8" x14ac:dyDescent="0.25">
      <c r="H146" s="122"/>
    </row>
    <row r="147" spans="8:8" x14ac:dyDescent="0.25">
      <c r="H147" s="122"/>
    </row>
    <row r="148" spans="8:8" x14ac:dyDescent="0.25">
      <c r="H148" s="122"/>
    </row>
    <row r="149" spans="8:8" x14ac:dyDescent="0.25">
      <c r="H149" s="122"/>
    </row>
    <row r="150" spans="8:8" x14ac:dyDescent="0.25">
      <c r="H150" s="122"/>
    </row>
    <row r="151" spans="8:8" x14ac:dyDescent="0.25">
      <c r="H151" s="122"/>
    </row>
    <row r="152" spans="8:8" x14ac:dyDescent="0.25">
      <c r="H152" s="122"/>
    </row>
    <row r="153" spans="8:8" x14ac:dyDescent="0.25">
      <c r="H153" s="122"/>
    </row>
    <row r="154" spans="8:8" x14ac:dyDescent="0.25">
      <c r="H154" s="122"/>
    </row>
    <row r="155" spans="8:8" x14ac:dyDescent="0.25">
      <c r="H155" s="122"/>
    </row>
    <row r="156" spans="8:8" x14ac:dyDescent="0.25">
      <c r="H156" s="122"/>
    </row>
    <row r="157" spans="8:8" x14ac:dyDescent="0.25">
      <c r="H157" s="122"/>
    </row>
    <row r="158" spans="8:8" x14ac:dyDescent="0.25">
      <c r="H158" s="122"/>
    </row>
    <row r="159" spans="8:8" x14ac:dyDescent="0.25">
      <c r="H159" s="122"/>
    </row>
    <row r="160" spans="8:8" x14ac:dyDescent="0.25">
      <c r="H160" s="122"/>
    </row>
    <row r="161" spans="8:8" x14ac:dyDescent="0.25">
      <c r="H161" s="122"/>
    </row>
    <row r="162" spans="8:8" x14ac:dyDescent="0.25">
      <c r="H162" s="122"/>
    </row>
    <row r="163" spans="8:8" x14ac:dyDescent="0.25">
      <c r="H163" s="122"/>
    </row>
    <row r="164" spans="8:8" x14ac:dyDescent="0.25">
      <c r="H164" s="122"/>
    </row>
    <row r="165" spans="8:8" x14ac:dyDescent="0.25">
      <c r="H165" s="122"/>
    </row>
    <row r="166" spans="8:8" x14ac:dyDescent="0.25">
      <c r="H166" s="122"/>
    </row>
    <row r="167" spans="8:8" x14ac:dyDescent="0.25">
      <c r="H167" s="122"/>
    </row>
    <row r="168" spans="8:8" x14ac:dyDescent="0.25">
      <c r="H168" s="122"/>
    </row>
    <row r="169" spans="8:8" x14ac:dyDescent="0.25">
      <c r="H169" s="122"/>
    </row>
    <row r="170" spans="8:8" x14ac:dyDescent="0.25">
      <c r="H170" s="122"/>
    </row>
    <row r="171" spans="8:8" x14ac:dyDescent="0.25">
      <c r="H171" s="122"/>
    </row>
    <row r="172" spans="8:8" x14ac:dyDescent="0.25">
      <c r="H172" s="122"/>
    </row>
    <row r="173" spans="8:8" x14ac:dyDescent="0.25">
      <c r="H173" s="122"/>
    </row>
    <row r="174" spans="8:8" x14ac:dyDescent="0.25">
      <c r="H174" s="122"/>
    </row>
    <row r="175" spans="8:8" x14ac:dyDescent="0.25">
      <c r="H175" s="122"/>
    </row>
    <row r="176" spans="8:8" x14ac:dyDescent="0.25">
      <c r="H176" s="122"/>
    </row>
    <row r="177" spans="8:8" x14ac:dyDescent="0.25">
      <c r="H177" s="122"/>
    </row>
    <row r="178" spans="8:8" x14ac:dyDescent="0.25">
      <c r="H178" s="122"/>
    </row>
    <row r="179" spans="8:8" x14ac:dyDescent="0.25">
      <c r="H179" s="122"/>
    </row>
    <row r="180" spans="8:8" x14ac:dyDescent="0.25">
      <c r="H180" s="122"/>
    </row>
    <row r="181" spans="8:8" x14ac:dyDescent="0.25">
      <c r="H181" s="122"/>
    </row>
    <row r="182" spans="8:8" x14ac:dyDescent="0.25">
      <c r="H182" s="122"/>
    </row>
    <row r="183" spans="8:8" x14ac:dyDescent="0.25">
      <c r="H183" s="122"/>
    </row>
    <row r="184" spans="8:8" x14ac:dyDescent="0.25">
      <c r="H184" s="122"/>
    </row>
    <row r="185" spans="8:8" x14ac:dyDescent="0.25">
      <c r="H185" s="122"/>
    </row>
    <row r="186" spans="8:8" x14ac:dyDescent="0.25">
      <c r="H186" s="122"/>
    </row>
    <row r="187" spans="8:8" x14ac:dyDescent="0.25">
      <c r="H187" s="122"/>
    </row>
    <row r="188" spans="8:8" x14ac:dyDescent="0.25">
      <c r="H188" s="122"/>
    </row>
    <row r="189" spans="8:8" x14ac:dyDescent="0.25">
      <c r="H189" s="122"/>
    </row>
    <row r="190" spans="8:8" x14ac:dyDescent="0.25">
      <c r="H190" s="122"/>
    </row>
    <row r="191" spans="8:8" x14ac:dyDescent="0.25">
      <c r="H191" s="122"/>
    </row>
    <row r="192" spans="8:8" x14ac:dyDescent="0.25">
      <c r="H192" s="122"/>
    </row>
    <row r="193" spans="8:8" x14ac:dyDescent="0.25">
      <c r="H193" s="122"/>
    </row>
    <row r="194" spans="8:8" x14ac:dyDescent="0.25">
      <c r="H194" s="122"/>
    </row>
    <row r="195" spans="8:8" x14ac:dyDescent="0.25">
      <c r="H195" s="122"/>
    </row>
    <row r="196" spans="8:8" x14ac:dyDescent="0.25">
      <c r="H196" s="122"/>
    </row>
    <row r="197" spans="8:8" x14ac:dyDescent="0.25">
      <c r="H197" s="122"/>
    </row>
    <row r="198" spans="8:8" x14ac:dyDescent="0.25">
      <c r="H198" s="122"/>
    </row>
    <row r="199" spans="8:8" x14ac:dyDescent="0.25">
      <c r="H199" s="122"/>
    </row>
    <row r="200" spans="8:8" x14ac:dyDescent="0.25">
      <c r="H200" s="122"/>
    </row>
    <row r="201" spans="8:8" x14ac:dyDescent="0.25">
      <c r="H201" s="122"/>
    </row>
    <row r="202" spans="8:8" x14ac:dyDescent="0.25">
      <c r="H202" s="122"/>
    </row>
    <row r="203" spans="8:8" x14ac:dyDescent="0.25">
      <c r="H203" s="122"/>
    </row>
    <row r="204" spans="8:8" x14ac:dyDescent="0.25">
      <c r="H204" s="122"/>
    </row>
    <row r="205" spans="8:8" x14ac:dyDescent="0.25">
      <c r="H205" s="122"/>
    </row>
    <row r="206" spans="8:8" x14ac:dyDescent="0.25">
      <c r="H206" s="122"/>
    </row>
    <row r="207" spans="8:8" x14ac:dyDescent="0.25">
      <c r="H207" s="122"/>
    </row>
    <row r="208" spans="8:8" x14ac:dyDescent="0.25">
      <c r="H208" s="122"/>
    </row>
    <row r="209" spans="8:8" x14ac:dyDescent="0.25">
      <c r="H209" s="122"/>
    </row>
    <row r="210" spans="8:8" x14ac:dyDescent="0.25">
      <c r="H210" s="122"/>
    </row>
  </sheetData>
  <mergeCells count="5">
    <mergeCell ref="B1:D1"/>
    <mergeCell ref="B15:D15"/>
    <mergeCell ref="B51:D51"/>
    <mergeCell ref="B67:D67"/>
    <mergeCell ref="B85:D85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Presbytery Budget 2025+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Fadden</dc:creator>
  <cp:lastModifiedBy>Irene Fadden</cp:lastModifiedBy>
  <cp:lastPrinted>2024-11-13T19:31:32Z</cp:lastPrinted>
  <dcterms:created xsi:type="dcterms:W3CDTF">2024-11-13T18:16:06Z</dcterms:created>
  <dcterms:modified xsi:type="dcterms:W3CDTF">2024-11-13T19:42:59Z</dcterms:modified>
</cp:coreProperties>
</file>