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e40877f4f7f4d43/Church cloud/presbytery stuff/Presgen Operations Committee/"/>
    </mc:Choice>
  </mc:AlternateContent>
  <xr:revisionPtr revIDLastSave="1" documentId="13_ncr:1_{410F2A2F-5F8C-4D52-808E-CBF45B6EDA26}" xr6:coauthVersionLast="47" xr6:coauthVersionMax="47" xr10:uidLastSave="{D70ACCE2-802A-0B4F-AB5A-8D430A294691}"/>
  <bookViews>
    <workbookView xWindow="0" yWindow="760" windowWidth="33360" windowHeight="19160" tabRatio="857" xr2:uid="{00000000-000D-0000-FFFF-FFFF00000000}"/>
  </bookViews>
  <sheets>
    <sheet name="Workbook Directory" sheetId="73" r:id="rId1"/>
    <sheet name="Balance Sheet 1" sheetId="67" r:id="rId2"/>
    <sheet name="P&amp;L Pr YR Comp 2 a" sheetId="76" r:id="rId3"/>
    <sheet name="PL Budget Mission &amp; Opers 3" sheetId="36" r:id="rId4"/>
    <sheet name="Camp YTD Budget  4" sheetId="35" r:id="rId5"/>
    <sheet name="Class Report 5" sheetId="71" r:id="rId6"/>
    <sheet name="Net Assets Summary 6 a" sheetId="53" r:id="rId7"/>
    <sheet name="Net Assets  6b" sheetId="68" r:id="rId8"/>
    <sheet name="New Covenant 7" sheetId="61" r:id="rId9"/>
    <sheet name="AR 2024 8" sheetId="37" r:id="rId10"/>
    <sheet name="def from 2023" sheetId="75" r:id="rId11"/>
    <sheet name="AR AGing 8.5" sheetId="74" r:id="rId12"/>
    <sheet name="Camp Payroll Tracking 9" sheetId="72" r:id="rId13"/>
    <sheet name="details missions 10" sheetId="57" r:id="rId14"/>
    <sheet name="details operations 11" sheetId="58" r:id="rId15"/>
    <sheet name="dedicated details 12" sheetId="56" r:id="rId16"/>
    <sheet name="camp details 13" sheetId="64" r:id="rId17"/>
  </sheets>
  <definedNames>
    <definedName name="_xlnm.Print_Area" localSheetId="9">'AR 2024 8'!$B$1:$F$66</definedName>
    <definedName name="_xlnm.Print_Titles" localSheetId="9">'AR 2024 8'!$1:$5</definedName>
    <definedName name="_xlnm.Print_Titles" localSheetId="4">'Camp YTD Budget  4'!$1:$7</definedName>
    <definedName name="_xlnm.Print_Titles" localSheetId="7">'Net Assets  6b'!$1:$3</definedName>
    <definedName name="_xlnm.Print_Titles" localSheetId="6">'Net Assets Summary 6 a'!$1:$3</definedName>
    <definedName name="_xlnm.Print_Titles" localSheetId="3">'PL Budget Mission &amp; Opers 3'!$1:$5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8" i="67" l="1"/>
  <c r="B148" i="67"/>
  <c r="C147" i="67"/>
  <c r="B147" i="67"/>
  <c r="C145" i="67"/>
  <c r="B145" i="67"/>
  <c r="C144" i="67"/>
  <c r="B144" i="67"/>
  <c r="C143" i="67"/>
  <c r="C146" i="67" s="1"/>
  <c r="B143" i="67"/>
  <c r="B146" i="67" s="1"/>
  <c r="B142" i="67"/>
  <c r="B141" i="67"/>
  <c r="C140" i="67"/>
  <c r="B140" i="67"/>
  <c r="C139" i="67"/>
  <c r="B139" i="67"/>
  <c r="C137" i="67"/>
  <c r="B137" i="67"/>
  <c r="C135" i="67"/>
  <c r="B135" i="67"/>
  <c r="B136" i="67" s="1"/>
  <c r="B149" i="67" s="1"/>
  <c r="C134" i="67"/>
  <c r="B134" i="67"/>
  <c r="C133" i="67"/>
  <c r="C136" i="67" s="1"/>
  <c r="C149" i="67" s="1"/>
  <c r="B133" i="67"/>
  <c r="C127" i="67"/>
  <c r="B127" i="67"/>
  <c r="C126" i="67"/>
  <c r="B126" i="67"/>
  <c r="C125" i="67"/>
  <c r="B125" i="67"/>
  <c r="C124" i="67"/>
  <c r="B124" i="67"/>
  <c r="C123" i="67"/>
  <c r="B123" i="67"/>
  <c r="C122" i="67"/>
  <c r="B122" i="67"/>
  <c r="C121" i="67"/>
  <c r="B121" i="67"/>
  <c r="C120" i="67"/>
  <c r="B120" i="67"/>
  <c r="C119" i="67"/>
  <c r="B119" i="67"/>
  <c r="C118" i="67"/>
  <c r="B118" i="67"/>
  <c r="C117" i="67"/>
  <c r="C128" i="67" s="1"/>
  <c r="B117" i="67"/>
  <c r="B128" i="67" s="1"/>
  <c r="C115" i="67"/>
  <c r="B115" i="67"/>
  <c r="C114" i="67"/>
  <c r="B114" i="67"/>
  <c r="C113" i="67"/>
  <c r="B113" i="67"/>
  <c r="C112" i="67"/>
  <c r="B112" i="67"/>
  <c r="C111" i="67"/>
  <c r="B111" i="67"/>
  <c r="C110" i="67"/>
  <c r="B110" i="67"/>
  <c r="B109" i="67"/>
  <c r="C108" i="67"/>
  <c r="B108" i="67"/>
  <c r="C107" i="67"/>
  <c r="B107" i="67"/>
  <c r="C106" i="67"/>
  <c r="B106" i="67"/>
  <c r="C105" i="67"/>
  <c r="B105" i="67"/>
  <c r="C104" i="67"/>
  <c r="B104" i="67"/>
  <c r="C103" i="67"/>
  <c r="B103" i="67"/>
  <c r="C100" i="67"/>
  <c r="C101" i="67" s="1"/>
  <c r="C99" i="67"/>
  <c r="B99" i="67"/>
  <c r="C98" i="67"/>
  <c r="B98" i="67"/>
  <c r="C97" i="67"/>
  <c r="B97" i="67"/>
  <c r="C96" i="67"/>
  <c r="B96" i="67"/>
  <c r="B100" i="67" s="1"/>
  <c r="B101" i="67" s="1"/>
  <c r="C95" i="67"/>
  <c r="B95" i="67"/>
  <c r="C94" i="67"/>
  <c r="B94" i="67"/>
  <c r="C90" i="67"/>
  <c r="C91" i="67" s="1"/>
  <c r="B90" i="67"/>
  <c r="B91" i="67" s="1"/>
  <c r="C83" i="67"/>
  <c r="B83" i="67"/>
  <c r="C81" i="67"/>
  <c r="B81" i="67"/>
  <c r="C80" i="67"/>
  <c r="B80" i="67"/>
  <c r="C79" i="67"/>
  <c r="B79" i="67"/>
  <c r="C78" i="67"/>
  <c r="B78" i="67"/>
  <c r="C77" i="67"/>
  <c r="B77" i="67"/>
  <c r="B76" i="67"/>
  <c r="B82" i="67" s="1"/>
  <c r="B84" i="67" s="1"/>
  <c r="C75" i="67"/>
  <c r="C76" i="67" s="1"/>
  <c r="C82" i="67" s="1"/>
  <c r="C84" i="67" s="1"/>
  <c r="B75" i="67"/>
  <c r="C74" i="67"/>
  <c r="B74" i="67"/>
  <c r="C73" i="67"/>
  <c r="B73" i="67"/>
  <c r="C72" i="67"/>
  <c r="B72" i="67"/>
  <c r="C71" i="67"/>
  <c r="B71" i="67"/>
  <c r="C65" i="67"/>
  <c r="C64" i="67"/>
  <c r="B64" i="67"/>
  <c r="C63" i="67"/>
  <c r="B63" i="67"/>
  <c r="B65" i="67" s="1"/>
  <c r="B66" i="67" s="1"/>
  <c r="C61" i="67"/>
  <c r="B61" i="67"/>
  <c r="C60" i="67"/>
  <c r="B60" i="67"/>
  <c r="C59" i="67"/>
  <c r="C66" i="67" s="1"/>
  <c r="B59" i="67"/>
  <c r="B57" i="67"/>
  <c r="B56" i="67"/>
  <c r="C55" i="67"/>
  <c r="C56" i="67" s="1"/>
  <c r="B55" i="67"/>
  <c r="C54" i="67"/>
  <c r="B54" i="67"/>
  <c r="C53" i="67"/>
  <c r="B53" i="67"/>
  <c r="C52" i="67"/>
  <c r="B52" i="67"/>
  <c r="C51" i="67"/>
  <c r="B51" i="67"/>
  <c r="C50" i="67"/>
  <c r="B50" i="67"/>
  <c r="C49" i="67"/>
  <c r="B49" i="67"/>
  <c r="B47" i="67"/>
  <c r="C46" i="67"/>
  <c r="C47" i="67" s="1"/>
  <c r="B46" i="67"/>
  <c r="C45" i="67"/>
  <c r="B45" i="67"/>
  <c r="C44" i="67"/>
  <c r="B44" i="67"/>
  <c r="C43" i="67"/>
  <c r="B43" i="67"/>
  <c r="C40" i="67"/>
  <c r="B40" i="67"/>
  <c r="C39" i="67"/>
  <c r="B39" i="67"/>
  <c r="C38" i="67"/>
  <c r="B38" i="67"/>
  <c r="B41" i="67" s="1"/>
  <c r="B67" i="67" s="1"/>
  <c r="B68" i="67" s="1"/>
  <c r="C37" i="67"/>
  <c r="C41" i="67" s="1"/>
  <c r="B37" i="67"/>
  <c r="C31" i="67"/>
  <c r="B31" i="67"/>
  <c r="C30" i="67"/>
  <c r="B30" i="67"/>
  <c r="C29" i="67"/>
  <c r="B29" i="67"/>
  <c r="C28" i="67"/>
  <c r="C32" i="67" s="1"/>
  <c r="B28" i="67"/>
  <c r="B32" i="67" s="1"/>
  <c r="B26" i="67"/>
  <c r="C25" i="67"/>
  <c r="C26" i="67" s="1"/>
  <c r="B25" i="67"/>
  <c r="C24" i="67"/>
  <c r="B24" i="67"/>
  <c r="C20" i="67"/>
  <c r="C21" i="67" s="1"/>
  <c r="B20" i="67"/>
  <c r="B21" i="67" s="1"/>
  <c r="C18" i="67"/>
  <c r="B18" i="67"/>
  <c r="C17" i="67"/>
  <c r="B17" i="67"/>
  <c r="C16" i="67"/>
  <c r="B16" i="67"/>
  <c r="C15" i="67"/>
  <c r="B15" i="67"/>
  <c r="C14" i="67"/>
  <c r="B14" i="67"/>
  <c r="C13" i="67"/>
  <c r="B13" i="67"/>
  <c r="C12" i="67"/>
  <c r="B12" i="67"/>
  <c r="C11" i="67"/>
  <c r="B11" i="67"/>
  <c r="C10" i="67"/>
  <c r="B10" i="67"/>
  <c r="B22" i="67" s="1"/>
  <c r="B33" i="67" s="1"/>
  <c r="B85" i="67" s="1"/>
  <c r="B327" i="76"/>
  <c r="B328" i="76" s="1"/>
  <c r="C326" i="76"/>
  <c r="C327" i="76" s="1"/>
  <c r="C324" i="76"/>
  <c r="C328" i="76" s="1"/>
  <c r="C322" i="76"/>
  <c r="C321" i="76"/>
  <c r="B320" i="76"/>
  <c r="C317" i="76"/>
  <c r="C318" i="76" s="1"/>
  <c r="B317" i="76"/>
  <c r="B318" i="76" s="1"/>
  <c r="C316" i="76"/>
  <c r="C314" i="76"/>
  <c r="B314" i="76"/>
  <c r="B313" i="76"/>
  <c r="B312" i="76"/>
  <c r="C311" i="76"/>
  <c r="C310" i="76"/>
  <c r="C309" i="76"/>
  <c r="C312" i="76" s="1"/>
  <c r="C307" i="76"/>
  <c r="B307" i="76"/>
  <c r="C305" i="76"/>
  <c r="C302" i="76"/>
  <c r="B302" i="76"/>
  <c r="C301" i="76"/>
  <c r="B301" i="76"/>
  <c r="C300" i="76"/>
  <c r="B300" i="76"/>
  <c r="C299" i="76"/>
  <c r="B299" i="76"/>
  <c r="C297" i="76"/>
  <c r="B297" i="76"/>
  <c r="B295" i="76"/>
  <c r="C294" i="76"/>
  <c r="B294" i="76"/>
  <c r="C293" i="76"/>
  <c r="C292" i="76"/>
  <c r="B290" i="76"/>
  <c r="C289" i="76"/>
  <c r="C288" i="76"/>
  <c r="C290" i="76" s="1"/>
  <c r="C291" i="76" s="1"/>
  <c r="C286" i="76"/>
  <c r="B286" i="76"/>
  <c r="B291" i="76" s="1"/>
  <c r="B296" i="76" s="1"/>
  <c r="B303" i="76" s="1"/>
  <c r="C285" i="76"/>
  <c r="B285" i="76"/>
  <c r="C284" i="76"/>
  <c r="C296" i="76" s="1"/>
  <c r="B284" i="76"/>
  <c r="C283" i="76"/>
  <c r="B283" i="76"/>
  <c r="C282" i="76"/>
  <c r="C280" i="76"/>
  <c r="B280" i="76"/>
  <c r="C279" i="76"/>
  <c r="B279" i="76"/>
  <c r="C277" i="76"/>
  <c r="B277" i="76"/>
  <c r="C275" i="76"/>
  <c r="C271" i="76"/>
  <c r="B271" i="76"/>
  <c r="C270" i="76"/>
  <c r="C264" i="76"/>
  <c r="C265" i="76" s="1"/>
  <c r="B264" i="76"/>
  <c r="B265" i="76" s="1"/>
  <c r="B262" i="76"/>
  <c r="C261" i="76"/>
  <c r="B260" i="76"/>
  <c r="B261" i="76" s="1"/>
  <c r="C259" i="76"/>
  <c r="B259" i="76"/>
  <c r="C258" i="76"/>
  <c r="B258" i="76"/>
  <c r="C256" i="76"/>
  <c r="B256" i="76"/>
  <c r="C255" i="76"/>
  <c r="B255" i="76"/>
  <c r="C254" i="76"/>
  <c r="B254" i="76"/>
  <c r="C253" i="76"/>
  <c r="B253" i="76"/>
  <c r="C252" i="76"/>
  <c r="B252" i="76"/>
  <c r="C251" i="76"/>
  <c r="C266" i="76" s="1"/>
  <c r="B251" i="76"/>
  <c r="B266" i="76" s="1"/>
  <c r="C248" i="76"/>
  <c r="B248" i="76"/>
  <c r="C247" i="76"/>
  <c r="B247" i="76"/>
  <c r="C246" i="76"/>
  <c r="B246" i="76"/>
  <c r="C245" i="76"/>
  <c r="B245" i="76"/>
  <c r="B244" i="76"/>
  <c r="C243" i="76"/>
  <c r="B243" i="76"/>
  <c r="C242" i="76"/>
  <c r="B242" i="76"/>
  <c r="C241" i="76"/>
  <c r="C249" i="76" s="1"/>
  <c r="B241" i="76"/>
  <c r="C240" i="76"/>
  <c r="B240" i="76"/>
  <c r="C239" i="76"/>
  <c r="B239" i="76"/>
  <c r="B249" i="76" s="1"/>
  <c r="B267" i="76" s="1"/>
  <c r="C234" i="76"/>
  <c r="B234" i="76"/>
  <c r="C233" i="76"/>
  <c r="C235" i="76" s="1"/>
  <c r="B233" i="76"/>
  <c r="B235" i="76" s="1"/>
  <c r="C231" i="76"/>
  <c r="B231" i="76"/>
  <c r="C230" i="76"/>
  <c r="B230" i="76"/>
  <c r="C226" i="76"/>
  <c r="B226" i="76"/>
  <c r="C225" i="76"/>
  <c r="B225" i="76"/>
  <c r="C224" i="76"/>
  <c r="C223" i="76"/>
  <c r="B223" i="76"/>
  <c r="C222" i="76"/>
  <c r="C227" i="76" s="1"/>
  <c r="B222" i="76"/>
  <c r="B227" i="76" s="1"/>
  <c r="B220" i="76"/>
  <c r="C219" i="76"/>
  <c r="C220" i="76" s="1"/>
  <c r="C216" i="76"/>
  <c r="B216" i="76"/>
  <c r="C215" i="76"/>
  <c r="B215" i="76"/>
  <c r="C214" i="76"/>
  <c r="B214" i="76"/>
  <c r="C213" i="76"/>
  <c r="B213" i="76"/>
  <c r="C212" i="76"/>
  <c r="B212" i="76"/>
  <c r="C211" i="76"/>
  <c r="C217" i="76" s="1"/>
  <c r="B211" i="76"/>
  <c r="B217" i="76" s="1"/>
  <c r="C209" i="76"/>
  <c r="B209" i="76"/>
  <c r="C208" i="76"/>
  <c r="B208" i="76"/>
  <c r="C207" i="76"/>
  <c r="B207" i="76"/>
  <c r="C206" i="76"/>
  <c r="B206" i="76"/>
  <c r="C205" i="76"/>
  <c r="B205" i="76"/>
  <c r="B201" i="76"/>
  <c r="C200" i="76"/>
  <c r="B200" i="76"/>
  <c r="B202" i="76" s="1"/>
  <c r="B203" i="76" s="1"/>
  <c r="C199" i="76"/>
  <c r="B199" i="76"/>
  <c r="C198" i="76"/>
  <c r="B198" i="76"/>
  <c r="C197" i="76"/>
  <c r="C202" i="76" s="1"/>
  <c r="C203" i="76" s="1"/>
  <c r="B197" i="76"/>
  <c r="C196" i="76"/>
  <c r="B196" i="76"/>
  <c r="C195" i="76"/>
  <c r="B195" i="76"/>
  <c r="C194" i="76"/>
  <c r="B194" i="76"/>
  <c r="C186" i="76"/>
  <c r="B186" i="76"/>
  <c r="C185" i="76"/>
  <c r="B185" i="76"/>
  <c r="C184" i="76"/>
  <c r="B184" i="76"/>
  <c r="C183" i="76"/>
  <c r="B183" i="76"/>
  <c r="C182" i="76"/>
  <c r="B182" i="76"/>
  <c r="C181" i="76"/>
  <c r="B181" i="76"/>
  <c r="C180" i="76"/>
  <c r="C179" i="76"/>
  <c r="C187" i="76" s="1"/>
  <c r="B179" i="76"/>
  <c r="B187" i="76" s="1"/>
  <c r="B176" i="76"/>
  <c r="C175" i="76"/>
  <c r="B175" i="76"/>
  <c r="C174" i="76"/>
  <c r="B173" i="76"/>
  <c r="C172" i="76"/>
  <c r="C177" i="76" s="1"/>
  <c r="B172" i="76"/>
  <c r="B177" i="76" s="1"/>
  <c r="B170" i="76"/>
  <c r="C169" i="76"/>
  <c r="C168" i="76"/>
  <c r="C167" i="76"/>
  <c r="B167" i="76"/>
  <c r="B168" i="76" s="1"/>
  <c r="C166" i="76"/>
  <c r="B166" i="76"/>
  <c r="C165" i="76"/>
  <c r="B165" i="76"/>
  <c r="C163" i="76"/>
  <c r="B163" i="76"/>
  <c r="C162" i="76"/>
  <c r="B162" i="76"/>
  <c r="C161" i="76"/>
  <c r="B161" i="76"/>
  <c r="C157" i="76"/>
  <c r="B157" i="76"/>
  <c r="C156" i="76"/>
  <c r="C155" i="76"/>
  <c r="B155" i="76"/>
  <c r="C154" i="76"/>
  <c r="B154" i="76"/>
  <c r="C153" i="76"/>
  <c r="B153" i="76"/>
  <c r="C152" i="76"/>
  <c r="B152" i="76"/>
  <c r="C151" i="76"/>
  <c r="B151" i="76"/>
  <c r="C148" i="76"/>
  <c r="C149" i="76" s="1"/>
  <c r="B148" i="76"/>
  <c r="B149" i="76" s="1"/>
  <c r="C145" i="76"/>
  <c r="C146" i="76" s="1"/>
  <c r="B145" i="76"/>
  <c r="B146" i="76" s="1"/>
  <c r="C142" i="76"/>
  <c r="B142" i="76"/>
  <c r="B143" i="76" s="1"/>
  <c r="C141" i="76"/>
  <c r="C143" i="76" s="1"/>
  <c r="B141" i="76"/>
  <c r="C139" i="76"/>
  <c r="B139" i="76"/>
  <c r="C138" i="76"/>
  <c r="B138" i="76"/>
  <c r="C137" i="76"/>
  <c r="B137" i="76"/>
  <c r="C136" i="76"/>
  <c r="B136" i="76"/>
  <c r="C135" i="76"/>
  <c r="B135" i="76"/>
  <c r="C134" i="76"/>
  <c r="B134" i="76"/>
  <c r="C133" i="76"/>
  <c r="B133" i="76"/>
  <c r="C132" i="76"/>
  <c r="B132" i="76"/>
  <c r="C130" i="76"/>
  <c r="B130" i="76"/>
  <c r="C129" i="76"/>
  <c r="C131" i="76" s="1"/>
  <c r="B129" i="76"/>
  <c r="B131" i="76" s="1"/>
  <c r="C127" i="76"/>
  <c r="B126" i="76"/>
  <c r="C125" i="76"/>
  <c r="B125" i="76"/>
  <c r="C124" i="76"/>
  <c r="B124" i="76"/>
  <c r="C123" i="76"/>
  <c r="C126" i="76" s="1"/>
  <c r="B123" i="76"/>
  <c r="C122" i="76"/>
  <c r="B122" i="76"/>
  <c r="C120" i="76"/>
  <c r="B120" i="76"/>
  <c r="C119" i="76"/>
  <c r="B119" i="76"/>
  <c r="C118" i="76"/>
  <c r="B118" i="76"/>
  <c r="C117" i="76"/>
  <c r="B117" i="76"/>
  <c r="C116" i="76"/>
  <c r="B116" i="76"/>
  <c r="B113" i="76"/>
  <c r="C112" i="76"/>
  <c r="B112" i="76"/>
  <c r="B111" i="76"/>
  <c r="C110" i="76"/>
  <c r="B110" i="76"/>
  <c r="C109" i="76"/>
  <c r="C108" i="76"/>
  <c r="C113" i="76" s="1"/>
  <c r="C105" i="76"/>
  <c r="C106" i="76" s="1"/>
  <c r="B105" i="76"/>
  <c r="C104" i="76"/>
  <c r="B104" i="76"/>
  <c r="C103" i="76"/>
  <c r="B103" i="76"/>
  <c r="B106" i="76" s="1"/>
  <c r="C102" i="76"/>
  <c r="B102" i="76"/>
  <c r="C101" i="76"/>
  <c r="B101" i="76"/>
  <c r="B98" i="76"/>
  <c r="C97" i="76"/>
  <c r="C98" i="76" s="1"/>
  <c r="B97" i="76"/>
  <c r="C95" i="76"/>
  <c r="B95" i="76"/>
  <c r="C94" i="76"/>
  <c r="B94" i="76"/>
  <c r="B93" i="76"/>
  <c r="B92" i="76"/>
  <c r="C91" i="76"/>
  <c r="B91" i="76"/>
  <c r="C90" i="76"/>
  <c r="B90" i="76"/>
  <c r="C89" i="76"/>
  <c r="B89" i="76"/>
  <c r="B99" i="76" s="1"/>
  <c r="B86" i="76"/>
  <c r="C85" i="76"/>
  <c r="C84" i="76"/>
  <c r="B83" i="76"/>
  <c r="B82" i="76"/>
  <c r="B81" i="76"/>
  <c r="C80" i="76"/>
  <c r="B80" i="76"/>
  <c r="C79" i="76"/>
  <c r="B78" i="76"/>
  <c r="C77" i="76"/>
  <c r="B77" i="76"/>
  <c r="B79" i="76" s="1"/>
  <c r="C75" i="76"/>
  <c r="B74" i="76"/>
  <c r="B73" i="76"/>
  <c r="B87" i="76" s="1"/>
  <c r="B114" i="76" s="1"/>
  <c r="C72" i="76"/>
  <c r="B72" i="76"/>
  <c r="C71" i="76"/>
  <c r="B71" i="76"/>
  <c r="C70" i="76"/>
  <c r="B70" i="76"/>
  <c r="C69" i="76"/>
  <c r="C68" i="76"/>
  <c r="C67" i="76"/>
  <c r="C87" i="76" s="1"/>
  <c r="B67" i="76"/>
  <c r="C66" i="76"/>
  <c r="B66" i="76"/>
  <c r="C65" i="76"/>
  <c r="B65" i="76"/>
  <c r="C59" i="76"/>
  <c r="B57" i="76"/>
  <c r="C56" i="76"/>
  <c r="B55" i="76"/>
  <c r="B56" i="76" s="1"/>
  <c r="C54" i="76"/>
  <c r="B54" i="76"/>
  <c r="C53" i="76"/>
  <c r="B53" i="76"/>
  <c r="C50" i="76"/>
  <c r="C48" i="76"/>
  <c r="C49" i="76" s="1"/>
  <c r="C47" i="76"/>
  <c r="B47" i="76"/>
  <c r="C46" i="76"/>
  <c r="C45" i="76"/>
  <c r="B45" i="76"/>
  <c r="B49" i="76" s="1"/>
  <c r="B51" i="76" s="1"/>
  <c r="C44" i="76"/>
  <c r="B44" i="76"/>
  <c r="C43" i="76"/>
  <c r="B43" i="76"/>
  <c r="C42" i="76"/>
  <c r="B42" i="76"/>
  <c r="C40" i="76"/>
  <c r="C51" i="76" s="1"/>
  <c r="B39" i="76"/>
  <c r="B58" i="76" s="1"/>
  <c r="C38" i="76"/>
  <c r="C37" i="76"/>
  <c r="C39" i="76" s="1"/>
  <c r="B37" i="76"/>
  <c r="C36" i="76"/>
  <c r="B36" i="76"/>
  <c r="C35" i="76"/>
  <c r="C34" i="76"/>
  <c r="B34" i="76"/>
  <c r="B28" i="76"/>
  <c r="C27" i="76"/>
  <c r="C26" i="76"/>
  <c r="B26" i="76"/>
  <c r="B29" i="76" s="1"/>
  <c r="C25" i="76"/>
  <c r="C29" i="76" s="1"/>
  <c r="B25" i="76"/>
  <c r="B24" i="76"/>
  <c r="C23" i="76"/>
  <c r="C22" i="76"/>
  <c r="C30" i="76" s="1"/>
  <c r="B22" i="76"/>
  <c r="C21" i="76"/>
  <c r="C16" i="76"/>
  <c r="B16" i="76"/>
  <c r="C15" i="76"/>
  <c r="C17" i="76" s="1"/>
  <c r="B15" i="76"/>
  <c r="B14" i="76"/>
  <c r="B17" i="76" s="1"/>
  <c r="B18" i="76" s="1"/>
  <c r="C13" i="76"/>
  <c r="C18" i="76" s="1"/>
  <c r="C11" i="76"/>
  <c r="B11" i="76"/>
  <c r="B12" i="76" s="1"/>
  <c r="C10" i="76"/>
  <c r="B10" i="76"/>
  <c r="C9" i="76"/>
  <c r="C12" i="76" s="1"/>
  <c r="Q247" i="72"/>
  <c r="I247" i="72"/>
  <c r="P243" i="72"/>
  <c r="I245" i="72"/>
  <c r="P235" i="72"/>
  <c r="B64" i="74"/>
  <c r="F63" i="74"/>
  <c r="G63" i="74" s="1"/>
  <c r="F62" i="74"/>
  <c r="G62" i="74" s="1"/>
  <c r="C61" i="74"/>
  <c r="G61" i="74" s="1"/>
  <c r="F60" i="74"/>
  <c r="G60" i="74" s="1"/>
  <c r="F59" i="74"/>
  <c r="G59" i="74" s="1"/>
  <c r="F58" i="74"/>
  <c r="G58" i="74" s="1"/>
  <c r="F57" i="74"/>
  <c r="G57" i="74" s="1"/>
  <c r="F56" i="74"/>
  <c r="G56" i="74" s="1"/>
  <c r="F55" i="74"/>
  <c r="G55" i="74" s="1"/>
  <c r="F54" i="74"/>
  <c r="G54" i="74" s="1"/>
  <c r="F53" i="74"/>
  <c r="C53" i="74"/>
  <c r="G53" i="74" s="1"/>
  <c r="G52" i="74"/>
  <c r="F52" i="74"/>
  <c r="G51" i="74"/>
  <c r="F51" i="74"/>
  <c r="E51" i="74"/>
  <c r="F50" i="74"/>
  <c r="G50" i="74" s="1"/>
  <c r="F49" i="74"/>
  <c r="G49" i="74" s="1"/>
  <c r="F48" i="74"/>
  <c r="C48" i="74"/>
  <c r="G48" i="74" s="1"/>
  <c r="F47" i="74"/>
  <c r="G47" i="74" s="1"/>
  <c r="F46" i="74"/>
  <c r="G46" i="74" s="1"/>
  <c r="G45" i="74"/>
  <c r="F45" i="74"/>
  <c r="G44" i="74"/>
  <c r="F44" i="74"/>
  <c r="F43" i="74"/>
  <c r="G43" i="74" s="1"/>
  <c r="C42" i="74"/>
  <c r="G42" i="74" s="1"/>
  <c r="G41" i="74"/>
  <c r="F41" i="74"/>
  <c r="C41" i="74"/>
  <c r="F40" i="74"/>
  <c r="G40" i="74" s="1"/>
  <c r="F39" i="74"/>
  <c r="G39" i="74" s="1"/>
  <c r="F38" i="74"/>
  <c r="G38" i="74" s="1"/>
  <c r="F37" i="74"/>
  <c r="G37" i="74" s="1"/>
  <c r="F36" i="74"/>
  <c r="G36" i="74" s="1"/>
  <c r="F35" i="74"/>
  <c r="G35" i="74" s="1"/>
  <c r="F34" i="74"/>
  <c r="G34" i="74" s="1"/>
  <c r="F33" i="74"/>
  <c r="G33" i="74" s="1"/>
  <c r="F32" i="74"/>
  <c r="G32" i="74" s="1"/>
  <c r="F31" i="74"/>
  <c r="G31" i="74" s="1"/>
  <c r="F30" i="74"/>
  <c r="G30" i="74" s="1"/>
  <c r="F29" i="74"/>
  <c r="G29" i="74" s="1"/>
  <c r="F28" i="74"/>
  <c r="G28" i="74" s="1"/>
  <c r="F27" i="74"/>
  <c r="C27" i="74"/>
  <c r="G27" i="74" s="1"/>
  <c r="G26" i="74"/>
  <c r="F26" i="74"/>
  <c r="G25" i="74"/>
  <c r="F25" i="74"/>
  <c r="F24" i="74"/>
  <c r="G24" i="74" s="1"/>
  <c r="F23" i="74"/>
  <c r="G23" i="74" s="1"/>
  <c r="G22" i="74"/>
  <c r="F22" i="74"/>
  <c r="G21" i="74"/>
  <c r="F21" i="74"/>
  <c r="F20" i="74"/>
  <c r="G20" i="74" s="1"/>
  <c r="F19" i="74"/>
  <c r="C19" i="74"/>
  <c r="G19" i="74" s="1"/>
  <c r="F18" i="74"/>
  <c r="G18" i="74" s="1"/>
  <c r="F17" i="74"/>
  <c r="G17" i="74" s="1"/>
  <c r="F16" i="74"/>
  <c r="D16" i="74"/>
  <c r="G16" i="74" s="1"/>
  <c r="G15" i="74"/>
  <c r="F15" i="74"/>
  <c r="G14" i="74"/>
  <c r="F14" i="74"/>
  <c r="F13" i="74"/>
  <c r="G13" i="74" s="1"/>
  <c r="F12" i="74"/>
  <c r="G12" i="74" s="1"/>
  <c r="G11" i="74"/>
  <c r="F11" i="74"/>
  <c r="C11" i="74"/>
  <c r="F10" i="74"/>
  <c r="G10" i="74" s="1"/>
  <c r="F9" i="74"/>
  <c r="G9" i="74" s="1"/>
  <c r="F8" i="74"/>
  <c r="E8" i="74"/>
  <c r="E64" i="74" s="1"/>
  <c r="D8" i="74"/>
  <c r="D64" i="74" s="1"/>
  <c r="F7" i="74"/>
  <c r="G7" i="74" s="1"/>
  <c r="F6" i="74"/>
  <c r="F64" i="74" s="1"/>
  <c r="C274" i="71"/>
  <c r="G274" i="71" s="1"/>
  <c r="F272" i="71"/>
  <c r="F273" i="71" s="1"/>
  <c r="F275" i="71" s="1"/>
  <c r="E272" i="71"/>
  <c r="E273" i="71" s="1"/>
  <c r="E275" i="71" s="1"/>
  <c r="D272" i="71"/>
  <c r="D273" i="71" s="1"/>
  <c r="D275" i="71" s="1"/>
  <c r="C272" i="71"/>
  <c r="B272" i="71"/>
  <c r="B273" i="71" s="1"/>
  <c r="C271" i="71"/>
  <c r="G271" i="71" s="1"/>
  <c r="G270" i="71"/>
  <c r="G269" i="71"/>
  <c r="C269" i="71"/>
  <c r="C268" i="71"/>
  <c r="G268" i="71" s="1"/>
  <c r="C267" i="71"/>
  <c r="G267" i="71" s="1"/>
  <c r="G266" i="71"/>
  <c r="F264" i="71"/>
  <c r="F276" i="71" s="1"/>
  <c r="F263" i="71"/>
  <c r="D263" i="71"/>
  <c r="C263" i="71"/>
  <c r="E262" i="71"/>
  <c r="B262" i="71"/>
  <c r="G262" i="71" s="1"/>
  <c r="E261" i="71"/>
  <c r="E263" i="71" s="1"/>
  <c r="B260" i="71"/>
  <c r="B263" i="71" s="1"/>
  <c r="G263" i="71" s="1"/>
  <c r="G259" i="71"/>
  <c r="G258" i="71"/>
  <c r="E258" i="71"/>
  <c r="B258" i="71"/>
  <c r="F257" i="71"/>
  <c r="C256" i="71"/>
  <c r="G256" i="71" s="1"/>
  <c r="C255" i="71"/>
  <c r="G255" i="71" s="1"/>
  <c r="C254" i="71"/>
  <c r="G254" i="71" s="1"/>
  <c r="C253" i="71"/>
  <c r="G253" i="71" s="1"/>
  <c r="G252" i="71"/>
  <c r="F252" i="71"/>
  <c r="E252" i="71"/>
  <c r="D252" i="71"/>
  <c r="C252" i="71"/>
  <c r="B252" i="71"/>
  <c r="C251" i="71"/>
  <c r="G251" i="71" s="1"/>
  <c r="G250" i="71"/>
  <c r="F249" i="71"/>
  <c r="E249" i="71"/>
  <c r="E257" i="71" s="1"/>
  <c r="E264" i="71" s="1"/>
  <c r="E276" i="71" s="1"/>
  <c r="D249" i="71"/>
  <c r="D257" i="71" s="1"/>
  <c r="D264" i="71" s="1"/>
  <c r="D276" i="71" s="1"/>
  <c r="C249" i="71"/>
  <c r="B249" i="71"/>
  <c r="B257" i="71" s="1"/>
  <c r="G248" i="71"/>
  <c r="C248" i="71"/>
  <c r="G247" i="71"/>
  <c r="C246" i="71"/>
  <c r="G246" i="71" s="1"/>
  <c r="G245" i="71"/>
  <c r="D239" i="71"/>
  <c r="F238" i="71"/>
  <c r="D238" i="71"/>
  <c r="C238" i="71"/>
  <c r="B238" i="71"/>
  <c r="E237" i="71"/>
  <c r="E238" i="71" s="1"/>
  <c r="G236" i="71"/>
  <c r="E235" i="71"/>
  <c r="G235" i="71" s="1"/>
  <c r="F234" i="71"/>
  <c r="F239" i="71" s="1"/>
  <c r="E234" i="71"/>
  <c r="G234" i="71" s="1"/>
  <c r="D234" i="71"/>
  <c r="C234" i="71"/>
  <c r="C239" i="71" s="1"/>
  <c r="B234" i="71"/>
  <c r="B239" i="71" s="1"/>
  <c r="G233" i="71"/>
  <c r="E233" i="71"/>
  <c r="G232" i="71"/>
  <c r="E232" i="71"/>
  <c r="G231" i="71"/>
  <c r="E231" i="71"/>
  <c r="G230" i="71"/>
  <c r="E229" i="71"/>
  <c r="G229" i="71" s="1"/>
  <c r="G228" i="71"/>
  <c r="E228" i="71"/>
  <c r="G227" i="71"/>
  <c r="E227" i="71"/>
  <c r="E226" i="71"/>
  <c r="G226" i="71" s="1"/>
  <c r="E225" i="71"/>
  <c r="G225" i="71" s="1"/>
  <c r="E224" i="71"/>
  <c r="G224" i="71" s="1"/>
  <c r="G223" i="71"/>
  <c r="F222" i="71"/>
  <c r="F240" i="71" s="1"/>
  <c r="D222" i="71"/>
  <c r="D240" i="71" s="1"/>
  <c r="C222" i="71"/>
  <c r="B222" i="71"/>
  <c r="E221" i="71"/>
  <c r="G221" i="71" s="1"/>
  <c r="G220" i="71"/>
  <c r="E220" i="71"/>
  <c r="E219" i="71"/>
  <c r="G219" i="71" s="1"/>
  <c r="G218" i="71"/>
  <c r="E218" i="71"/>
  <c r="G217" i="71"/>
  <c r="E217" i="71"/>
  <c r="E216" i="71"/>
  <c r="G216" i="71" s="1"/>
  <c r="E215" i="71"/>
  <c r="G215" i="71" s="1"/>
  <c r="E214" i="71"/>
  <c r="G214" i="71" s="1"/>
  <c r="E213" i="71"/>
  <c r="G213" i="71" s="1"/>
  <c r="G212" i="71"/>
  <c r="E212" i="71"/>
  <c r="E222" i="71" s="1"/>
  <c r="G211" i="71"/>
  <c r="G210" i="71"/>
  <c r="F208" i="71"/>
  <c r="F209" i="71" s="1"/>
  <c r="E208" i="71"/>
  <c r="E209" i="71" s="1"/>
  <c r="D208" i="71"/>
  <c r="C208" i="71"/>
  <c r="C209" i="71" s="1"/>
  <c r="B208" i="71"/>
  <c r="B209" i="71" s="1"/>
  <c r="G209" i="71" s="1"/>
  <c r="G207" i="71"/>
  <c r="D207" i="71"/>
  <c r="D206" i="71"/>
  <c r="G206" i="71" s="1"/>
  <c r="G205" i="71"/>
  <c r="D204" i="71"/>
  <c r="G204" i="71" s="1"/>
  <c r="D203" i="71"/>
  <c r="D209" i="71" s="1"/>
  <c r="G202" i="71"/>
  <c r="D201" i="71"/>
  <c r="C201" i="71"/>
  <c r="F200" i="71"/>
  <c r="D200" i="71"/>
  <c r="C200" i="71"/>
  <c r="B200" i="71"/>
  <c r="G199" i="71"/>
  <c r="E199" i="71"/>
  <c r="G198" i="71"/>
  <c r="G197" i="71"/>
  <c r="E197" i="71"/>
  <c r="E196" i="71"/>
  <c r="E200" i="71" s="1"/>
  <c r="G200" i="71" s="1"/>
  <c r="G195" i="71"/>
  <c r="F194" i="71"/>
  <c r="F201" i="71" s="1"/>
  <c r="D194" i="71"/>
  <c r="C194" i="71"/>
  <c r="B194" i="71"/>
  <c r="G193" i="71"/>
  <c r="E193" i="71"/>
  <c r="G192" i="71"/>
  <c r="E192" i="71"/>
  <c r="E191" i="71"/>
  <c r="G191" i="71" s="1"/>
  <c r="E190" i="71"/>
  <c r="G190" i="71" s="1"/>
  <c r="E189" i="71"/>
  <c r="G189" i="71" s="1"/>
  <c r="E188" i="71"/>
  <c r="G188" i="71" s="1"/>
  <c r="G187" i="71"/>
  <c r="F186" i="71"/>
  <c r="D186" i="71"/>
  <c r="C186" i="71"/>
  <c r="B186" i="71"/>
  <c r="G186" i="71" s="1"/>
  <c r="E185" i="71"/>
  <c r="G185" i="71" s="1"/>
  <c r="G184" i="71"/>
  <c r="E184" i="71"/>
  <c r="E183" i="71"/>
  <c r="G183" i="71" s="1"/>
  <c r="G182" i="71"/>
  <c r="E182" i="71"/>
  <c r="E186" i="71" s="1"/>
  <c r="G181" i="71"/>
  <c r="F180" i="71"/>
  <c r="D180" i="71"/>
  <c r="C180" i="71"/>
  <c r="F179" i="71"/>
  <c r="D179" i="71"/>
  <c r="C179" i="71"/>
  <c r="B179" i="71"/>
  <c r="B180" i="71" s="1"/>
  <c r="E178" i="71"/>
  <c r="G178" i="71" s="1"/>
  <c r="E177" i="71"/>
  <c r="G177" i="71" s="1"/>
  <c r="G176" i="71"/>
  <c r="E176" i="71"/>
  <c r="G175" i="71"/>
  <c r="E175" i="71"/>
  <c r="G174" i="71"/>
  <c r="E174" i="71"/>
  <c r="G173" i="71"/>
  <c r="E173" i="71"/>
  <c r="E172" i="71"/>
  <c r="G172" i="71" s="1"/>
  <c r="E171" i="71"/>
  <c r="E179" i="71" s="1"/>
  <c r="E180" i="71" s="1"/>
  <c r="G170" i="71"/>
  <c r="G169" i="71"/>
  <c r="G168" i="71"/>
  <c r="G167" i="71"/>
  <c r="F164" i="71"/>
  <c r="E164" i="71"/>
  <c r="D164" i="71"/>
  <c r="C164" i="71"/>
  <c r="G163" i="71"/>
  <c r="B163" i="71"/>
  <c r="G162" i="71"/>
  <c r="B162" i="71"/>
  <c r="G161" i="71"/>
  <c r="B161" i="71"/>
  <c r="B160" i="71"/>
  <c r="G160" i="71" s="1"/>
  <c r="B159" i="71"/>
  <c r="G159" i="71" s="1"/>
  <c r="B158" i="71"/>
  <c r="G158" i="71" s="1"/>
  <c r="B157" i="71"/>
  <c r="B164" i="71" s="1"/>
  <c r="G164" i="71" s="1"/>
  <c r="G156" i="71"/>
  <c r="F155" i="71"/>
  <c r="E155" i="71"/>
  <c r="D155" i="71"/>
  <c r="C155" i="71"/>
  <c r="G154" i="71"/>
  <c r="B154" i="71"/>
  <c r="G153" i="71"/>
  <c r="B153" i="71"/>
  <c r="B152" i="71"/>
  <c r="G152" i="71" s="1"/>
  <c r="G151" i="71"/>
  <c r="B151" i="71"/>
  <c r="B155" i="71" s="1"/>
  <c r="G155" i="71" s="1"/>
  <c r="G150" i="71"/>
  <c r="G149" i="71"/>
  <c r="B149" i="71"/>
  <c r="E148" i="71"/>
  <c r="D148" i="71"/>
  <c r="C148" i="71"/>
  <c r="B147" i="71"/>
  <c r="G147" i="71" s="1"/>
  <c r="B146" i="71"/>
  <c r="G146" i="71" s="1"/>
  <c r="F145" i="71"/>
  <c r="F148" i="71" s="1"/>
  <c r="B145" i="71"/>
  <c r="B148" i="71" s="1"/>
  <c r="G144" i="71"/>
  <c r="G143" i="71"/>
  <c r="F143" i="71"/>
  <c r="E143" i="71"/>
  <c r="E165" i="71" s="1"/>
  <c r="D143" i="71"/>
  <c r="D165" i="71" s="1"/>
  <c r="C143" i="71"/>
  <c r="C165" i="71" s="1"/>
  <c r="B143" i="71"/>
  <c r="G142" i="71"/>
  <c r="B142" i="71"/>
  <c r="B141" i="71"/>
  <c r="G141" i="71" s="1"/>
  <c r="G140" i="71"/>
  <c r="G139" i="71"/>
  <c r="D138" i="71"/>
  <c r="G137" i="71"/>
  <c r="B137" i="71"/>
  <c r="F136" i="71"/>
  <c r="E136" i="71"/>
  <c r="D136" i="71"/>
  <c r="C136" i="71"/>
  <c r="B135" i="71"/>
  <c r="G135" i="71" s="1"/>
  <c r="B134" i="71"/>
  <c r="G134" i="71" s="1"/>
  <c r="B133" i="71"/>
  <c r="G133" i="71" s="1"/>
  <c r="G132" i="71"/>
  <c r="B132" i="71"/>
  <c r="B136" i="71" s="1"/>
  <c r="G136" i="71" s="1"/>
  <c r="G131" i="71"/>
  <c r="F130" i="71"/>
  <c r="E130" i="71"/>
  <c r="D130" i="71"/>
  <c r="C130" i="71"/>
  <c r="B129" i="71"/>
  <c r="B130" i="71" s="1"/>
  <c r="G130" i="71" s="1"/>
  <c r="G128" i="71"/>
  <c r="F127" i="71"/>
  <c r="F138" i="71" s="1"/>
  <c r="E127" i="71"/>
  <c r="D127" i="71"/>
  <c r="C127" i="71"/>
  <c r="G126" i="71"/>
  <c r="B126" i="71"/>
  <c r="B127" i="71" s="1"/>
  <c r="G127" i="71" s="1"/>
  <c r="G125" i="71"/>
  <c r="F124" i="71"/>
  <c r="E124" i="71"/>
  <c r="D124" i="71"/>
  <c r="C124" i="71"/>
  <c r="B123" i="71"/>
  <c r="G123" i="71" s="1"/>
  <c r="G122" i="71"/>
  <c r="B122" i="71"/>
  <c r="B124" i="71" s="1"/>
  <c r="G124" i="71" s="1"/>
  <c r="G121" i="71"/>
  <c r="G120" i="71"/>
  <c r="B120" i="71"/>
  <c r="G119" i="71"/>
  <c r="B119" i="71"/>
  <c r="G118" i="71"/>
  <c r="B118" i="71"/>
  <c r="G117" i="71"/>
  <c r="B117" i="71"/>
  <c r="B116" i="71"/>
  <c r="G116" i="71" s="1"/>
  <c r="B115" i="71"/>
  <c r="G115" i="71" s="1"/>
  <c r="B114" i="71"/>
  <c r="G114" i="71" s="1"/>
  <c r="B113" i="71"/>
  <c r="G113" i="71" s="1"/>
  <c r="G112" i="71"/>
  <c r="F112" i="71"/>
  <c r="E112" i="71"/>
  <c r="D112" i="71"/>
  <c r="C112" i="71"/>
  <c r="B112" i="71"/>
  <c r="G111" i="71"/>
  <c r="B111" i="71"/>
  <c r="G110" i="71"/>
  <c r="B110" i="71"/>
  <c r="G109" i="71"/>
  <c r="F108" i="71"/>
  <c r="E108" i="71"/>
  <c r="E138" i="71" s="1"/>
  <c r="D108" i="71"/>
  <c r="C108" i="71"/>
  <c r="C138" i="71" s="1"/>
  <c r="B108" i="71"/>
  <c r="G108" i="71" s="1"/>
  <c r="B107" i="71"/>
  <c r="G107" i="71" s="1"/>
  <c r="B106" i="71"/>
  <c r="G106" i="71" s="1"/>
  <c r="B105" i="71"/>
  <c r="G105" i="71" s="1"/>
  <c r="B104" i="71"/>
  <c r="G104" i="71" s="1"/>
  <c r="G103" i="71"/>
  <c r="B102" i="71"/>
  <c r="G102" i="71" s="1"/>
  <c r="B101" i="71"/>
  <c r="G101" i="71" s="1"/>
  <c r="B100" i="71"/>
  <c r="G100" i="71" s="1"/>
  <c r="G99" i="71"/>
  <c r="B99" i="71"/>
  <c r="G98" i="71"/>
  <c r="B98" i="71"/>
  <c r="G97" i="71"/>
  <c r="F95" i="71"/>
  <c r="E95" i="71"/>
  <c r="D95" i="71"/>
  <c r="C95" i="71"/>
  <c r="G95" i="71" s="1"/>
  <c r="B95" i="71"/>
  <c r="B94" i="71"/>
  <c r="G94" i="71" s="1"/>
  <c r="B93" i="71"/>
  <c r="G93" i="71" s="1"/>
  <c r="B92" i="71"/>
  <c r="G92" i="71" s="1"/>
  <c r="G91" i="71"/>
  <c r="F90" i="71"/>
  <c r="E90" i="71"/>
  <c r="D90" i="71"/>
  <c r="C90" i="71"/>
  <c r="B89" i="71"/>
  <c r="B90" i="71" s="1"/>
  <c r="G90" i="71" s="1"/>
  <c r="G88" i="71"/>
  <c r="B88" i="71"/>
  <c r="G87" i="71"/>
  <c r="B87" i="71"/>
  <c r="G86" i="71"/>
  <c r="B86" i="71"/>
  <c r="B85" i="71"/>
  <c r="G85" i="71" s="1"/>
  <c r="G84" i="71"/>
  <c r="E83" i="71"/>
  <c r="D83" i="71"/>
  <c r="C83" i="71"/>
  <c r="G82" i="71"/>
  <c r="F82" i="71"/>
  <c r="E82" i="71"/>
  <c r="D82" i="71"/>
  <c r="C82" i="71"/>
  <c r="B82" i="71"/>
  <c r="B81" i="71"/>
  <c r="G81" i="71" s="1"/>
  <c r="G80" i="71"/>
  <c r="F79" i="71"/>
  <c r="F83" i="71" s="1"/>
  <c r="E79" i="71"/>
  <c r="D79" i="71"/>
  <c r="C79" i="71"/>
  <c r="B78" i="71"/>
  <c r="B79" i="71" s="1"/>
  <c r="G77" i="71"/>
  <c r="B77" i="71"/>
  <c r="G76" i="71"/>
  <c r="B76" i="71"/>
  <c r="G75" i="71"/>
  <c r="B75" i="71"/>
  <c r="B74" i="71"/>
  <c r="G74" i="71" s="1"/>
  <c r="B73" i="71"/>
  <c r="G73" i="71" s="1"/>
  <c r="G72" i="71"/>
  <c r="C71" i="71"/>
  <c r="C96" i="71" s="1"/>
  <c r="B70" i="71"/>
  <c r="G70" i="71" s="1"/>
  <c r="B69" i="71"/>
  <c r="G69" i="71" s="1"/>
  <c r="G68" i="71"/>
  <c r="B68" i="71"/>
  <c r="G67" i="71"/>
  <c r="B67" i="71"/>
  <c r="B66" i="71"/>
  <c r="G66" i="71" s="1"/>
  <c r="F65" i="71"/>
  <c r="F71" i="71" s="1"/>
  <c r="E65" i="71"/>
  <c r="E71" i="71" s="1"/>
  <c r="E96" i="71" s="1"/>
  <c r="E166" i="71" s="1"/>
  <c r="D65" i="71"/>
  <c r="D71" i="71" s="1"/>
  <c r="D96" i="71" s="1"/>
  <c r="D166" i="71" s="1"/>
  <c r="C65" i="71"/>
  <c r="B64" i="71"/>
  <c r="G64" i="71" s="1"/>
  <c r="B63" i="71"/>
  <c r="G63" i="71" s="1"/>
  <c r="G62" i="71"/>
  <c r="B61" i="71"/>
  <c r="G61" i="71" s="1"/>
  <c r="B60" i="71"/>
  <c r="G60" i="71" s="1"/>
  <c r="B59" i="71"/>
  <c r="G59" i="71" s="1"/>
  <c r="B58" i="71"/>
  <c r="G58" i="71" s="1"/>
  <c r="B57" i="71"/>
  <c r="G57" i="71" s="1"/>
  <c r="G56" i="71"/>
  <c r="B56" i="71"/>
  <c r="G55" i="71"/>
  <c r="B55" i="71"/>
  <c r="G54" i="71"/>
  <c r="B54" i="71"/>
  <c r="G53" i="71"/>
  <c r="G52" i="71"/>
  <c r="B47" i="71"/>
  <c r="G47" i="71" s="1"/>
  <c r="F46" i="71"/>
  <c r="E46" i="71"/>
  <c r="D46" i="71"/>
  <c r="C46" i="71"/>
  <c r="G45" i="71"/>
  <c r="B45" i="71"/>
  <c r="G44" i="71"/>
  <c r="B44" i="71"/>
  <c r="B43" i="71"/>
  <c r="B46" i="71" s="1"/>
  <c r="G46" i="71" s="1"/>
  <c r="G42" i="71"/>
  <c r="E41" i="71"/>
  <c r="D41" i="71"/>
  <c r="C41" i="71"/>
  <c r="F40" i="71"/>
  <c r="F41" i="71" s="1"/>
  <c r="E40" i="71"/>
  <c r="D40" i="71"/>
  <c r="C40" i="71"/>
  <c r="G39" i="71"/>
  <c r="B39" i="71"/>
  <c r="G38" i="71"/>
  <c r="B38" i="71"/>
  <c r="G37" i="71"/>
  <c r="B37" i="71"/>
  <c r="B36" i="71"/>
  <c r="B40" i="71" s="1"/>
  <c r="G35" i="71"/>
  <c r="B35" i="71"/>
  <c r="G34" i="71"/>
  <c r="G33" i="71"/>
  <c r="F32" i="71"/>
  <c r="E32" i="71"/>
  <c r="E48" i="71" s="1"/>
  <c r="D32" i="71"/>
  <c r="D48" i="71" s="1"/>
  <c r="C32" i="71"/>
  <c r="C48" i="71" s="1"/>
  <c r="G31" i="71"/>
  <c r="B31" i="71"/>
  <c r="G30" i="71"/>
  <c r="B30" i="71"/>
  <c r="B29" i="71"/>
  <c r="B32" i="71" s="1"/>
  <c r="G28" i="71"/>
  <c r="G27" i="71"/>
  <c r="F24" i="71"/>
  <c r="F25" i="71" s="1"/>
  <c r="E24" i="71"/>
  <c r="E25" i="71" s="1"/>
  <c r="D24" i="71"/>
  <c r="D25" i="71" s="1"/>
  <c r="C24" i="71"/>
  <c r="C25" i="71" s="1"/>
  <c r="B24" i="71"/>
  <c r="B25" i="71" s="1"/>
  <c r="E23" i="71"/>
  <c r="G23" i="71" s="1"/>
  <c r="E22" i="71"/>
  <c r="G22" i="71" s="1"/>
  <c r="G21" i="71"/>
  <c r="E21" i="71"/>
  <c r="G20" i="71"/>
  <c r="E20" i="71"/>
  <c r="G19" i="71"/>
  <c r="G18" i="71"/>
  <c r="F17" i="71"/>
  <c r="C17" i="71"/>
  <c r="G17" i="71" s="1"/>
  <c r="B17" i="71"/>
  <c r="F16" i="71"/>
  <c r="D16" i="71"/>
  <c r="D17" i="71" s="1"/>
  <c r="C16" i="71"/>
  <c r="B16" i="71"/>
  <c r="G16" i="71" s="1"/>
  <c r="G15" i="71"/>
  <c r="E15" i="71"/>
  <c r="G14" i="71"/>
  <c r="E14" i="71"/>
  <c r="E13" i="71"/>
  <c r="E16" i="71" s="1"/>
  <c r="E17" i="71" s="1"/>
  <c r="G12" i="71"/>
  <c r="F11" i="71"/>
  <c r="E11" i="71"/>
  <c r="C11" i="71"/>
  <c r="B11" i="71"/>
  <c r="G10" i="71"/>
  <c r="D10" i="71"/>
  <c r="D9" i="71"/>
  <c r="D11" i="71" s="1"/>
  <c r="D26" i="71" s="1"/>
  <c r="G8" i="71"/>
  <c r="G7" i="71"/>
  <c r="N80" i="53"/>
  <c r="L80" i="53"/>
  <c r="K80" i="53"/>
  <c r="L82" i="53" s="1"/>
  <c r="H80" i="53"/>
  <c r="H82" i="53" s="1"/>
  <c r="E80" i="53"/>
  <c r="D80" i="53"/>
  <c r="P78" i="53"/>
  <c r="E78" i="53"/>
  <c r="P77" i="53"/>
  <c r="Q78" i="53" s="1"/>
  <c r="Q71" i="53"/>
  <c r="E71" i="53"/>
  <c r="P70" i="53"/>
  <c r="P69" i="53"/>
  <c r="E66" i="53"/>
  <c r="F66" i="53" s="1"/>
  <c r="P65" i="53"/>
  <c r="Q65" i="53" s="1"/>
  <c r="F61" i="53"/>
  <c r="F80" i="53" s="1"/>
  <c r="P60" i="53"/>
  <c r="E59" i="53"/>
  <c r="P58" i="53"/>
  <c r="P57" i="53"/>
  <c r="P55" i="53"/>
  <c r="Q58" i="53" s="1"/>
  <c r="R58" i="53" s="1"/>
  <c r="P54" i="53"/>
  <c r="P53" i="53"/>
  <c r="P52" i="53"/>
  <c r="E51" i="53"/>
  <c r="P50" i="53"/>
  <c r="P49" i="53"/>
  <c r="P47" i="53"/>
  <c r="P46" i="53"/>
  <c r="P45" i="53"/>
  <c r="P43" i="53"/>
  <c r="E43" i="53"/>
  <c r="P37" i="53"/>
  <c r="E37" i="53"/>
  <c r="P36" i="53"/>
  <c r="Q38" i="53" s="1"/>
  <c r="P35" i="53"/>
  <c r="P34" i="53"/>
  <c r="P32" i="53"/>
  <c r="P31" i="53"/>
  <c r="M31" i="53"/>
  <c r="E31" i="53"/>
  <c r="P29" i="53"/>
  <c r="E29" i="53"/>
  <c r="P26" i="53"/>
  <c r="E22" i="53"/>
  <c r="P21" i="53"/>
  <c r="P20" i="53"/>
  <c r="M14" i="53"/>
  <c r="L14" i="53"/>
  <c r="I14" i="53"/>
  <c r="D14" i="53"/>
  <c r="E14" i="53" s="1"/>
  <c r="P8" i="53"/>
  <c r="E8" i="53"/>
  <c r="P34" i="68"/>
  <c r="C22" i="67" l="1"/>
  <c r="C33" i="67" s="1"/>
  <c r="C57" i="67"/>
  <c r="C67" i="67" s="1"/>
  <c r="C68" i="67" s="1"/>
  <c r="B129" i="67"/>
  <c r="B130" i="67"/>
  <c r="B131" i="67" s="1"/>
  <c r="B150" i="67" s="1"/>
  <c r="C129" i="67"/>
  <c r="C130" i="67" s="1"/>
  <c r="C131" i="67" s="1"/>
  <c r="C150" i="67" s="1"/>
  <c r="C31" i="76"/>
  <c r="B228" i="76"/>
  <c r="C267" i="76"/>
  <c r="B31" i="76"/>
  <c r="B60" i="76" s="1"/>
  <c r="B61" i="76" s="1"/>
  <c r="C99" i="76"/>
  <c r="C158" i="76"/>
  <c r="B158" i="76"/>
  <c r="B189" i="76" s="1"/>
  <c r="C188" i="76"/>
  <c r="B236" i="76"/>
  <c r="C236" i="76"/>
  <c r="C303" i="76"/>
  <c r="C330" i="76" s="1"/>
  <c r="C114" i="76"/>
  <c r="C189" i="76" s="1"/>
  <c r="B188" i="76"/>
  <c r="B319" i="76"/>
  <c r="B329" i="76" s="1"/>
  <c r="B330" i="76" s="1"/>
  <c r="B30" i="76"/>
  <c r="C58" i="76"/>
  <c r="C228" i="76"/>
  <c r="C319" i="76"/>
  <c r="C329" i="76" s="1"/>
  <c r="G8" i="74"/>
  <c r="C64" i="74"/>
  <c r="G64" i="74" s="1"/>
  <c r="G6" i="74"/>
  <c r="F165" i="71"/>
  <c r="C240" i="71"/>
  <c r="C241" i="71"/>
  <c r="D241" i="71"/>
  <c r="D242" i="71" s="1"/>
  <c r="G148" i="71"/>
  <c r="B165" i="71"/>
  <c r="G165" i="71" s="1"/>
  <c r="B26" i="71"/>
  <c r="G25" i="71"/>
  <c r="F96" i="71"/>
  <c r="F166" i="71" s="1"/>
  <c r="F241" i="71"/>
  <c r="G257" i="71"/>
  <c r="B264" i="71"/>
  <c r="F48" i="71"/>
  <c r="G79" i="71"/>
  <c r="B83" i="71"/>
  <c r="G83" i="71" s="1"/>
  <c r="B201" i="71"/>
  <c r="G180" i="71"/>
  <c r="D49" i="71"/>
  <c r="D50" i="71" s="1"/>
  <c r="B41" i="71"/>
  <c r="G41" i="71" s="1"/>
  <c r="G40" i="71"/>
  <c r="G238" i="71"/>
  <c r="E239" i="71"/>
  <c r="E240" i="71" s="1"/>
  <c r="B275" i="71"/>
  <c r="C26" i="71"/>
  <c r="C49" i="71" s="1"/>
  <c r="C50" i="71" s="1"/>
  <c r="C166" i="71"/>
  <c r="C242" i="71" s="1"/>
  <c r="E26" i="71"/>
  <c r="E49" i="71" s="1"/>
  <c r="E50" i="71" s="1"/>
  <c r="B138" i="71"/>
  <c r="G138" i="71" s="1"/>
  <c r="G32" i="71"/>
  <c r="F26" i="71"/>
  <c r="G222" i="71"/>
  <c r="B65" i="71"/>
  <c r="G65" i="71" s="1"/>
  <c r="B71" i="71"/>
  <c r="E194" i="71"/>
  <c r="G194" i="71" s="1"/>
  <c r="G11" i="71"/>
  <c r="G78" i="71"/>
  <c r="G89" i="71"/>
  <c r="G157" i="71"/>
  <c r="G145" i="71"/>
  <c r="B240" i="71"/>
  <c r="G260" i="71"/>
  <c r="G13" i="71"/>
  <c r="G24" i="71"/>
  <c r="G29" i="71"/>
  <c r="G36" i="71"/>
  <c r="G196" i="71"/>
  <c r="G272" i="71"/>
  <c r="G171" i="71"/>
  <c r="G208" i="71"/>
  <c r="G261" i="71"/>
  <c r="G129" i="71"/>
  <c r="G237" i="71"/>
  <c r="G249" i="71"/>
  <c r="C273" i="71"/>
  <c r="C275" i="71" s="1"/>
  <c r="G203" i="71"/>
  <c r="G9" i="71"/>
  <c r="G43" i="71"/>
  <c r="G179" i="71"/>
  <c r="C257" i="71"/>
  <c r="C264" i="71" s="1"/>
  <c r="P14" i="53"/>
  <c r="P80" i="53" s="1"/>
  <c r="F22" i="53"/>
  <c r="S66" i="53"/>
  <c r="R38" i="53"/>
  <c r="U58" i="53" s="1"/>
  <c r="P35" i="68"/>
  <c r="M30" i="75"/>
  <c r="C85" i="67" l="1"/>
  <c r="C268" i="76"/>
  <c r="C272" i="76" s="1"/>
  <c r="B268" i="76"/>
  <c r="B272" i="76" s="1"/>
  <c r="B273" i="76" s="1"/>
  <c r="B331" i="76" s="1"/>
  <c r="C60" i="76"/>
  <c r="C61" i="76" s="1"/>
  <c r="G264" i="71"/>
  <c r="B276" i="71"/>
  <c r="F242" i="71"/>
  <c r="G275" i="71"/>
  <c r="B49" i="71"/>
  <c r="G26" i="71"/>
  <c r="G273" i="71"/>
  <c r="G239" i="71"/>
  <c r="G240" i="71"/>
  <c r="B96" i="71"/>
  <c r="G71" i="71"/>
  <c r="D243" i="71"/>
  <c r="D277" i="71" s="1"/>
  <c r="E201" i="71"/>
  <c r="E241" i="71" s="1"/>
  <c r="E242" i="71" s="1"/>
  <c r="E243" i="71" s="1"/>
  <c r="E277" i="71" s="1"/>
  <c r="B241" i="71"/>
  <c r="G241" i="71" s="1"/>
  <c r="G201" i="71"/>
  <c r="F49" i="71"/>
  <c r="F50" i="71" s="1"/>
  <c r="B48" i="71"/>
  <c r="G48" i="71" s="1"/>
  <c r="C243" i="71"/>
  <c r="C276" i="71"/>
  <c r="Q22" i="53"/>
  <c r="C273" i="76" l="1"/>
  <c r="C331" i="76" s="1"/>
  <c r="B166" i="71"/>
  <c r="G96" i="71"/>
  <c r="C277" i="71"/>
  <c r="G276" i="71"/>
  <c r="B50" i="71"/>
  <c r="G49" i="71"/>
  <c r="F243" i="71"/>
  <c r="F277" i="71" s="1"/>
  <c r="G50" i="71" l="1"/>
  <c r="B242" i="71"/>
  <c r="G242" i="71" s="1"/>
  <c r="G166" i="71"/>
  <c r="H66" i="37"/>
  <c r="B243" i="71" l="1"/>
  <c r="E66" i="37"/>
  <c r="Q252" i="72"/>
  <c r="P224" i="72"/>
  <c r="P14" i="68"/>
  <c r="I220" i="72"/>
  <c r="I218" i="72"/>
  <c r="P217" i="72"/>
  <c r="I211" i="72"/>
  <c r="I209" i="72"/>
  <c r="P208" i="72"/>
  <c r="D66" i="37"/>
  <c r="B16" i="36"/>
  <c r="B11" i="36"/>
  <c r="P199" i="72"/>
  <c r="I202" i="72"/>
  <c r="I200" i="72"/>
  <c r="P191" i="72"/>
  <c r="I194" i="72"/>
  <c r="I192" i="72"/>
  <c r="B89" i="35"/>
  <c r="F89" i="35"/>
  <c r="E89" i="35"/>
  <c r="D89" i="35"/>
  <c r="C89" i="35"/>
  <c r="G88" i="35"/>
  <c r="D13" i="61"/>
  <c r="G243" i="71" l="1"/>
  <c r="B277" i="71"/>
  <c r="G277" i="71" s="1"/>
  <c r="G89" i="35"/>
  <c r="G86" i="35"/>
  <c r="P52" i="68" l="1"/>
  <c r="I186" i="72"/>
  <c r="I179" i="72"/>
  <c r="P182" i="72"/>
  <c r="I177" i="72"/>
  <c r="P174" i="72"/>
  <c r="L51" i="37"/>
  <c r="I171" i="72"/>
  <c r="I169" i="72"/>
  <c r="P167" i="72"/>
  <c r="I161" i="72"/>
  <c r="I163" i="72"/>
  <c r="P158" i="72"/>
  <c r="P32" i="68" l="1"/>
  <c r="I255" i="72"/>
  <c r="I253" i="72"/>
  <c r="I239" i="72"/>
  <c r="I237" i="72"/>
  <c r="I228" i="72"/>
  <c r="I226" i="72"/>
  <c r="I184" i="72"/>
  <c r="I154" i="72"/>
  <c r="I152" i="72"/>
  <c r="P150" i="72"/>
  <c r="I143" i="72"/>
  <c r="I141" i="72"/>
  <c r="P139" i="72"/>
  <c r="I135" i="72"/>
  <c r="I133" i="72"/>
  <c r="P131" i="72"/>
  <c r="I127" i="72"/>
  <c r="I125" i="72"/>
  <c r="P123" i="72"/>
  <c r="I119" i="72"/>
  <c r="I117" i="72"/>
  <c r="P115" i="72"/>
  <c r="I111" i="72"/>
  <c r="I109" i="72"/>
  <c r="P107" i="72"/>
  <c r="I103" i="72"/>
  <c r="I101" i="72"/>
  <c r="P99" i="72"/>
  <c r="I96" i="72"/>
  <c r="I94" i="72"/>
  <c r="P92" i="72"/>
  <c r="I87" i="72"/>
  <c r="I85" i="72"/>
  <c r="P83" i="72"/>
  <c r="I79" i="72"/>
  <c r="I77" i="72"/>
  <c r="P75" i="72"/>
  <c r="I71" i="72"/>
  <c r="I69" i="72"/>
  <c r="P67" i="72"/>
  <c r="I64" i="72"/>
  <c r="I62" i="72"/>
  <c r="P60" i="72"/>
  <c r="I56" i="72"/>
  <c r="I54" i="72"/>
  <c r="P52" i="72"/>
  <c r="I49" i="72"/>
  <c r="I47" i="72"/>
  <c r="P45" i="72"/>
  <c r="I42" i="72"/>
  <c r="I40" i="72"/>
  <c r="P38" i="72"/>
  <c r="I33" i="72"/>
  <c r="I31" i="72"/>
  <c r="P29" i="72"/>
  <c r="I25" i="72"/>
  <c r="I23" i="72"/>
  <c r="P21" i="72"/>
  <c r="I18" i="72"/>
  <c r="I16" i="72"/>
  <c r="P14" i="72"/>
  <c r="I10" i="72"/>
  <c r="I9" i="72"/>
  <c r="P7" i="72"/>
  <c r="B78" i="35" l="1"/>
  <c r="F61" i="68" l="1"/>
  <c r="P26" i="68" l="1"/>
  <c r="E59" i="68"/>
  <c r="E43" i="68"/>
  <c r="E22" i="68"/>
  <c r="E8" i="68"/>
  <c r="E37" i="68"/>
  <c r="E31" i="68"/>
  <c r="P31" i="68"/>
  <c r="D14" i="68"/>
  <c r="E14" i="68" s="1"/>
  <c r="F22" i="68" l="1"/>
  <c r="Y57" i="37"/>
  <c r="Y60" i="37"/>
  <c r="B32" i="61" l="1"/>
  <c r="B107" i="35"/>
  <c r="E51" i="68" l="1"/>
  <c r="E29" i="68"/>
  <c r="N80" i="68" l="1"/>
  <c r="K80" i="68"/>
  <c r="H80" i="68"/>
  <c r="H82" i="68" s="1"/>
  <c r="D80" i="68"/>
  <c r="P78" i="68"/>
  <c r="E78" i="68"/>
  <c r="P77" i="68"/>
  <c r="E71" i="68"/>
  <c r="P70" i="68"/>
  <c r="P69" i="68"/>
  <c r="E66" i="68"/>
  <c r="F66" i="68" s="1"/>
  <c r="F80" i="68" s="1"/>
  <c r="P65" i="68"/>
  <c r="Q65" i="68" s="1"/>
  <c r="P60" i="68"/>
  <c r="P58" i="68"/>
  <c r="P57" i="68"/>
  <c r="P55" i="68"/>
  <c r="P54" i="68"/>
  <c r="P53" i="68"/>
  <c r="P50" i="68"/>
  <c r="P49" i="68"/>
  <c r="P47" i="68"/>
  <c r="P46" i="68"/>
  <c r="P45" i="68"/>
  <c r="P37" i="68"/>
  <c r="P36" i="68"/>
  <c r="M31" i="68"/>
  <c r="P29" i="68"/>
  <c r="P21" i="68"/>
  <c r="P20" i="68"/>
  <c r="P43" i="68"/>
  <c r="M14" i="68"/>
  <c r="L14" i="68"/>
  <c r="L80" i="68" s="1"/>
  <c r="I14" i="68"/>
  <c r="P8" i="68"/>
  <c r="Y59" i="37"/>
  <c r="Y58" i="37"/>
  <c r="C70" i="35"/>
  <c r="C77" i="36"/>
  <c r="B122" i="35"/>
  <c r="Q38" i="68" l="1"/>
  <c r="R38" i="68" s="1"/>
  <c r="E80" i="68"/>
  <c r="Q22" i="68"/>
  <c r="Q58" i="68"/>
  <c r="R58" i="68" s="1"/>
  <c r="Q71" i="68"/>
  <c r="Q78" i="68"/>
  <c r="L82" i="68"/>
  <c r="P80" i="68"/>
  <c r="U58" i="68" l="1"/>
  <c r="S66" i="68"/>
  <c r="B70" i="35" l="1"/>
  <c r="B148" i="35" l="1"/>
  <c r="L44" i="37" l="1"/>
  <c r="M44" i="37"/>
  <c r="U66" i="37"/>
  <c r="T66" i="37"/>
  <c r="S66" i="37"/>
  <c r="R66" i="37"/>
  <c r="P66" i="37"/>
  <c r="V66" i="37"/>
  <c r="I66" i="37"/>
  <c r="C66" i="37"/>
  <c r="Y61" i="37"/>
  <c r="M56" i="37"/>
  <c r="L56" i="37"/>
  <c r="M55" i="37"/>
  <c r="L55" i="37"/>
  <c r="M54" i="37"/>
  <c r="L54" i="37"/>
  <c r="M53" i="37"/>
  <c r="L53" i="37"/>
  <c r="Y53" i="37" s="1"/>
  <c r="M51" i="37"/>
  <c r="M50" i="37"/>
  <c r="L50" i="37"/>
  <c r="M49" i="37"/>
  <c r="L49" i="37"/>
  <c r="M48" i="37"/>
  <c r="L48" i="37"/>
  <c r="M47" i="37"/>
  <c r="L47" i="37"/>
  <c r="M46" i="37"/>
  <c r="L46" i="37"/>
  <c r="M45" i="37"/>
  <c r="L45" i="37"/>
  <c r="M43" i="37"/>
  <c r="L43" i="37"/>
  <c r="M42" i="37"/>
  <c r="L42" i="37"/>
  <c r="M41" i="37"/>
  <c r="L41" i="37"/>
  <c r="M40" i="37"/>
  <c r="L40" i="37"/>
  <c r="M39" i="37"/>
  <c r="L39" i="37"/>
  <c r="M38" i="37"/>
  <c r="L38" i="37"/>
  <c r="M37" i="37"/>
  <c r="L37" i="37"/>
  <c r="M36" i="37"/>
  <c r="L36" i="37"/>
  <c r="M35" i="37"/>
  <c r="L35" i="37"/>
  <c r="M34" i="37"/>
  <c r="L34" i="37"/>
  <c r="M33" i="37"/>
  <c r="L33" i="37"/>
  <c r="Y33" i="37" s="1"/>
  <c r="M32" i="37"/>
  <c r="L32" i="37"/>
  <c r="M52" i="37"/>
  <c r="L52" i="37"/>
  <c r="M30" i="37"/>
  <c r="L30" i="37"/>
  <c r="M29" i="37"/>
  <c r="L29" i="37"/>
  <c r="Y29" i="37" s="1"/>
  <c r="M28" i="37"/>
  <c r="L28" i="37"/>
  <c r="M27" i="37"/>
  <c r="L27" i="37"/>
  <c r="M26" i="37"/>
  <c r="L26" i="37"/>
  <c r="M25" i="37"/>
  <c r="L25" i="37"/>
  <c r="M24" i="37"/>
  <c r="L24" i="37"/>
  <c r="M23" i="37"/>
  <c r="L23" i="37"/>
  <c r="M22" i="37"/>
  <c r="L22" i="37"/>
  <c r="Y22" i="37" s="1"/>
  <c r="M21" i="37"/>
  <c r="L21" i="37"/>
  <c r="Y21" i="37" s="1"/>
  <c r="M20" i="37"/>
  <c r="L20" i="37"/>
  <c r="M19" i="37"/>
  <c r="L19" i="37"/>
  <c r="M18" i="37"/>
  <c r="L18" i="37"/>
  <c r="M17" i="37"/>
  <c r="L17" i="37"/>
  <c r="M16" i="37"/>
  <c r="L16" i="37"/>
  <c r="Y16" i="37" s="1"/>
  <c r="M15" i="37"/>
  <c r="L15" i="37"/>
  <c r="M14" i="37"/>
  <c r="L14" i="37"/>
  <c r="M13" i="37"/>
  <c r="L13" i="37"/>
  <c r="M12" i="37"/>
  <c r="L12" i="37"/>
  <c r="Y12" i="37" s="1"/>
  <c r="M11" i="37"/>
  <c r="L11" i="37"/>
  <c r="M31" i="37"/>
  <c r="L31" i="37"/>
  <c r="Y31" i="37" s="1"/>
  <c r="M10" i="37"/>
  <c r="L10" i="37"/>
  <c r="M9" i="37"/>
  <c r="L9" i="37"/>
  <c r="Y9" i="37" s="1"/>
  <c r="M8" i="37"/>
  <c r="L8" i="37"/>
  <c r="Y8" i="37" s="1"/>
  <c r="M7" i="37"/>
  <c r="L7" i="37"/>
  <c r="M6" i="37"/>
  <c r="L6" i="37"/>
  <c r="Y27" i="37" l="1"/>
  <c r="Y20" i="37"/>
  <c r="Y44" i="37"/>
  <c r="Y46" i="37"/>
  <c r="Y28" i="37"/>
  <c r="Y42" i="37"/>
  <c r="Y48" i="37"/>
  <c r="Y45" i="37"/>
  <c r="Y36" i="37"/>
  <c r="Y39" i="37"/>
  <c r="Y35" i="37"/>
  <c r="Y40" i="37"/>
  <c r="Y15" i="37"/>
  <c r="Y11" i="37"/>
  <c r="Y41" i="37"/>
  <c r="Y34" i="37"/>
  <c r="Y10" i="37"/>
  <c r="Y52" i="37"/>
  <c r="Y7" i="37"/>
  <c r="Y38" i="37"/>
  <c r="Y56" i="37"/>
  <c r="Y17" i="37"/>
  <c r="Y14" i="37"/>
  <c r="Y54" i="37"/>
  <c r="Y37" i="37"/>
  <c r="Y32" i="37"/>
  <c r="Y30" i="37"/>
  <c r="Y19" i="37"/>
  <c r="Y18" i="37"/>
  <c r="Y49" i="37"/>
  <c r="Y55" i="37"/>
  <c r="Y47" i="37"/>
  <c r="Y43" i="37"/>
  <c r="Y26" i="37"/>
  <c r="Y25" i="37"/>
  <c r="Y13" i="37"/>
  <c r="Y51" i="37"/>
  <c r="Y50" i="37"/>
  <c r="Y24" i="37"/>
  <c r="Y23" i="37"/>
  <c r="V68" i="37"/>
  <c r="N77" i="37" s="1"/>
  <c r="T68" i="37"/>
  <c r="Y6" i="37"/>
  <c r="M66" i="37"/>
  <c r="L66" i="37"/>
  <c r="N71" i="37" s="1"/>
  <c r="Y70" i="37" l="1"/>
  <c r="Z65" i="37"/>
  <c r="N72" i="37"/>
  <c r="N74" i="37" s="1"/>
  <c r="R71" i="37"/>
  <c r="N79" i="37" l="1"/>
  <c r="B164" i="35"/>
  <c r="C107" i="35" l="1"/>
  <c r="B25" i="35" l="1"/>
  <c r="B37" i="35" s="1"/>
  <c r="C67" i="36" l="1"/>
  <c r="B192" i="35" l="1"/>
  <c r="B48" i="61" l="1"/>
  <c r="B15" i="61"/>
  <c r="B149" i="36" l="1"/>
  <c r="B67" i="36" l="1"/>
  <c r="B15" i="35" l="1"/>
  <c r="B38" i="35" s="1"/>
  <c r="B21" i="36" l="1"/>
  <c r="C21" i="36"/>
  <c r="B77" i="36" l="1"/>
  <c r="C59" i="36"/>
  <c r="C51" i="36"/>
  <c r="C52" i="36" s="1"/>
  <c r="C15" i="35" l="1"/>
  <c r="C25" i="35" l="1"/>
  <c r="C37" i="35" s="1"/>
  <c r="B129" i="36" l="1"/>
  <c r="B134" i="36" s="1"/>
  <c r="B113" i="36" l="1"/>
  <c r="C11" i="36"/>
  <c r="C16" i="36"/>
  <c r="C17" i="36" s="1"/>
  <c r="B17" i="36"/>
  <c r="C27" i="36"/>
  <c r="B27" i="36"/>
  <c r="B51" i="36"/>
  <c r="B52" i="36" s="1"/>
  <c r="B59" i="36"/>
  <c r="C82" i="36"/>
  <c r="B82" i="36"/>
  <c r="B92" i="36"/>
  <c r="C133" i="36"/>
  <c r="B133" i="36"/>
  <c r="C92" i="36" l="1"/>
  <c r="C93" i="36" s="1"/>
  <c r="B93" i="36"/>
  <c r="B78" i="36"/>
  <c r="C113" i="36"/>
  <c r="B28" i="36"/>
  <c r="B135" i="36"/>
  <c r="C28" i="36"/>
  <c r="C31" i="36" s="1"/>
  <c r="C32" i="36" s="1"/>
  <c r="C33" i="36" s="1"/>
  <c r="C129" i="36"/>
  <c r="C134" i="36" s="1"/>
  <c r="B31" i="36" l="1"/>
  <c r="B33" i="36" s="1"/>
  <c r="C78" i="36"/>
  <c r="C135" i="36"/>
  <c r="B136" i="36"/>
  <c r="B137" i="36" s="1"/>
  <c r="B138" i="36" l="1"/>
  <c r="B139" i="36" s="1"/>
  <c r="C136" i="36"/>
  <c r="C137" i="36" s="1"/>
  <c r="C138" i="36" s="1"/>
  <c r="C139" i="36" s="1"/>
  <c r="B178" i="35"/>
  <c r="B169" i="35"/>
  <c r="B154" i="35"/>
  <c r="C148" i="35"/>
  <c r="B145" i="35"/>
  <c r="B141" i="35"/>
  <c r="C134" i="35"/>
  <c r="B127" i="35"/>
  <c r="C81" i="35"/>
  <c r="B81" i="35"/>
  <c r="B92" i="35" s="1"/>
  <c r="B108" i="35" s="1"/>
  <c r="B158" i="35" l="1"/>
  <c r="C169" i="35"/>
  <c r="C127" i="35"/>
  <c r="C78" i="35"/>
  <c r="C92" i="35" s="1"/>
  <c r="C122" i="35"/>
  <c r="C141" i="35"/>
  <c r="C192" i="35"/>
  <c r="C164" i="35"/>
  <c r="C178" i="35"/>
  <c r="C154" i="35"/>
  <c r="C145" i="35"/>
  <c r="B193" i="35"/>
  <c r="B40" i="35" l="1"/>
  <c r="B41" i="35" s="1"/>
  <c r="B194" i="35"/>
  <c r="B195" i="35" s="1"/>
  <c r="C158" i="35"/>
  <c r="C193" i="35"/>
  <c r="C38" i="35"/>
  <c r="C40" i="35" s="1"/>
  <c r="C41" i="35" s="1"/>
  <c r="C194" i="35" l="1"/>
  <c r="C195" i="35" s="1"/>
  <c r="C196" i="35" s="1"/>
  <c r="B196" i="35"/>
  <c r="B205" i="35" s="1"/>
  <c r="B143" i="36" l="1"/>
  <c r="B153" i="36" s="1"/>
  <c r="B217" i="3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Marjorie Case</author>
    <author>tc={4F5A106E-B23C-4C76-B262-C3A7BA2863FB}</author>
  </authors>
  <commentList>
    <comment ref="V23" authorId="0" shapeId="0" xr:uid="{4229B18D-1F4C-4AD5-8F5E-746848BBB2D8}">
      <text>
        <r>
          <rPr>
            <b/>
            <sz val="9"/>
            <color indexed="81"/>
            <rFont val="Tahoma"/>
            <family val="2"/>
          </rPr>
          <t>Marjorie Case:</t>
        </r>
        <r>
          <rPr>
            <sz val="9"/>
            <color indexed="81"/>
            <rFont val="Tahoma"/>
            <family val="2"/>
          </rPr>
          <t xml:space="preserve">
inv for returned check</t>
        </r>
      </text>
    </comment>
    <comment ref="T55" authorId="1" shapeId="0" xr:uid="{4F5A106E-B23C-4C76-B262-C3A7BA2863FB}">
      <text>
        <t>[Threaded comment]
Your version of Excel allows you to read this threaded comment; however, any edits to it will get removed if the file is opened in a newer version of Excel. Learn more: https://go.microsoft.com/fwlink/?linkid=870924
Comment:
    Pd in 2024 for 2025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tc={377E24D1-354D-4CEE-A9C8-FF05C941E084}</author>
  </authors>
  <commentList>
    <comment ref="M150" authorId="0" shapeId="0" xr:uid="{377E24D1-354D-4CEE-A9C8-FF05C941E084}">
      <text>
        <t>[Threaded comment]
Your version of Excel allows you to read this threaded comment; however, any edits to it will get removed if the file is opened in a newer version of Excel. Learn more: https://go.microsoft.com/fwlink/?linkid=870924
Comment:
    Dbl pfl</t>
      </text>
    </comment>
  </commentList>
</comments>
</file>

<file path=xl/sharedStrings.xml><?xml version="1.0" encoding="utf-8"?>
<sst xmlns="http://schemas.openxmlformats.org/spreadsheetml/2006/main" count="12882" uniqueCount="2818">
  <si>
    <t>Income</t>
  </si>
  <si>
    <t>Total Income</t>
  </si>
  <si>
    <t>Gross Profit</t>
  </si>
  <si>
    <t>Expense</t>
  </si>
  <si>
    <t>Net Income</t>
  </si>
  <si>
    <t>Camp</t>
  </si>
  <si>
    <t>Dedicated</t>
  </si>
  <si>
    <t>Missions</t>
  </si>
  <si>
    <t>TOTAL</t>
  </si>
  <si>
    <t>Other Income</t>
  </si>
  <si>
    <t>Total Other Income</t>
  </si>
  <si>
    <t>Net Other Income</t>
  </si>
  <si>
    <t>Balance</t>
  </si>
  <si>
    <t>Pledges Paid</t>
  </si>
  <si>
    <t>Balance Due</t>
  </si>
  <si>
    <t>Total A/R</t>
  </si>
  <si>
    <t>PIN</t>
  </si>
  <si>
    <t>Church</t>
  </si>
  <si>
    <t>Members</t>
  </si>
  <si>
    <t>Presbytery</t>
  </si>
  <si>
    <t>Per Capita</t>
  </si>
  <si>
    <t>Mission</t>
  </si>
  <si>
    <t>ADDISON</t>
  </si>
  <si>
    <t>ANDOVER</t>
  </si>
  <si>
    <t>ATLANTA</t>
  </si>
  <si>
    <t>BATH</t>
  </si>
  <si>
    <t>BIG FLATS</t>
  </si>
  <si>
    <t>BURDETT</t>
  </si>
  <si>
    <t>CANANDAIGUA</t>
  </si>
  <si>
    <t>CANISTEO</t>
  </si>
  <si>
    <t>COHOCTON</t>
  </si>
  <si>
    <t>CORNING</t>
  </si>
  <si>
    <t>ELMIRA FIRST</t>
  </si>
  <si>
    <t>ELMIRA NORTH</t>
  </si>
  <si>
    <t>GENEVA</t>
  </si>
  <si>
    <t>HAMMONDSPORT</t>
  </si>
  <si>
    <t>HECTOR</t>
  </si>
  <si>
    <t>HORNELL</t>
  </si>
  <si>
    <t>HORSEHEADS</t>
  </si>
  <si>
    <t>HOWARD</t>
  </si>
  <si>
    <t>HURON</t>
  </si>
  <si>
    <t>ITHACA</t>
  </si>
  <si>
    <t>JASPER</t>
  </si>
  <si>
    <t>JUNIUS</t>
  </si>
  <si>
    <t>LYONS</t>
  </si>
  <si>
    <t>MORELAND</t>
  </si>
  <si>
    <t>NEWARK</t>
  </si>
  <si>
    <t>OAKS CORNERS</t>
  </si>
  <si>
    <t>ONTARIO CENTER</t>
  </si>
  <si>
    <t>OVID</t>
  </si>
  <si>
    <t>PAINTED POST</t>
  </si>
  <si>
    <t>PENN YAN</t>
  </si>
  <si>
    <t>PHELPS</t>
  </si>
  <si>
    <t>PRATTSBURGH</t>
  </si>
  <si>
    <t>PULTENEY</t>
  </si>
  <si>
    <t>ROCK STREAM</t>
  </si>
  <si>
    <t>SENECA #9</t>
  </si>
  <si>
    <t>SENECA FALLS</t>
  </si>
  <si>
    <t>SHORTSVILLE</t>
  </si>
  <si>
    <t>SODUS</t>
  </si>
  <si>
    <t>SPENCER</t>
  </si>
  <si>
    <t>TRUMANSBURG</t>
  </si>
  <si>
    <t>WATERLOO</t>
  </si>
  <si>
    <t>WATKINS GLEN</t>
  </si>
  <si>
    <t>Presbytery of Geneva</t>
  </si>
  <si>
    <t>Restricted Accounts</t>
  </si>
  <si>
    <t>Subtractions</t>
  </si>
  <si>
    <t>Inc AC#</t>
  </si>
  <si>
    <t>Exp AC#</t>
  </si>
  <si>
    <t>Released /
Reclassed</t>
  </si>
  <si>
    <t>Unrestricted Funds</t>
  </si>
  <si>
    <t>Youth Triennium</t>
  </si>
  <si>
    <t>7050_D</t>
  </si>
  <si>
    <t>8010_D</t>
  </si>
  <si>
    <t>Candidates Grant Fund</t>
  </si>
  <si>
    <t>7100_D</t>
  </si>
  <si>
    <t>8020_D</t>
  </si>
  <si>
    <t>7326_D</t>
  </si>
  <si>
    <t>8171_D</t>
  </si>
  <si>
    <t>Hay Grant</t>
  </si>
  <si>
    <t>8180_D</t>
  </si>
  <si>
    <t>Peacemaking</t>
  </si>
  <si>
    <t>7000_D</t>
  </si>
  <si>
    <t>7150_D</t>
  </si>
  <si>
    <t>Two-Cents-A-Meal</t>
  </si>
  <si>
    <t>7300_D</t>
  </si>
  <si>
    <t>8100_D</t>
  </si>
  <si>
    <t>Interest in Life Income Charitable gifts</t>
  </si>
  <si>
    <t>7290_D</t>
  </si>
  <si>
    <t>8090_D</t>
  </si>
  <si>
    <t>Permanently Restricted Funds</t>
  </si>
  <si>
    <t>Camp Whitman Endowment</t>
  </si>
  <si>
    <t>8165_D</t>
  </si>
  <si>
    <t>Presbytery General Endowment</t>
  </si>
  <si>
    <t>Restricted Income &amp; Expenses</t>
  </si>
  <si>
    <t>ASSETS</t>
  </si>
  <si>
    <t>TOTAL ASSETS</t>
  </si>
  <si>
    <t>Date</t>
  </si>
  <si>
    <t>Num</t>
  </si>
  <si>
    <t>Name</t>
  </si>
  <si>
    <t>Invoice</t>
  </si>
  <si>
    <t>Deposit</t>
  </si>
  <si>
    <t>Bill</t>
  </si>
  <si>
    <t>Bath  Presbyterian Church</t>
  </si>
  <si>
    <t>Big Flats Presbyterian Church</t>
  </si>
  <si>
    <t>Burdett Presbyterian Church</t>
  </si>
  <si>
    <t>Canandaigua United Church</t>
  </si>
  <si>
    <t>Canisteo Presbyterian Church</t>
  </si>
  <si>
    <t>Cohocton Presbyterian Church</t>
  </si>
  <si>
    <t>Corning  Presbyterian Church</t>
  </si>
  <si>
    <t>East Palmyra  Presbyterian Church</t>
  </si>
  <si>
    <t>Elmira First  Presbyterian Church</t>
  </si>
  <si>
    <t>Elmira North Presbyterian Church</t>
  </si>
  <si>
    <t>Geneva  Presbyterian Church</t>
  </si>
  <si>
    <t>Hammondsport  Presbyterian Church</t>
  </si>
  <si>
    <t>Hector  Presbyterian Church</t>
  </si>
  <si>
    <t>Hornell  Presbyterian Church</t>
  </si>
  <si>
    <t>Horseheads Presbyterian Church</t>
  </si>
  <si>
    <t>Howard Union Church</t>
  </si>
  <si>
    <t>Huron  Presbyterian Church</t>
  </si>
  <si>
    <t>Ithaca First Presbyterian Church</t>
  </si>
  <si>
    <t>Jasper United Church</t>
  </si>
  <si>
    <t>Junius  Presbyterian Church</t>
  </si>
  <si>
    <t>Lyons  Presbyterian Church</t>
  </si>
  <si>
    <t>Moreland  Presbyterian Church</t>
  </si>
  <si>
    <t>Naples Trinity Church</t>
  </si>
  <si>
    <t>Newark Park  Presbyterian Church</t>
  </si>
  <si>
    <t>Oaks Corners  Presbyterian Church</t>
  </si>
  <si>
    <t>Ontario Center  Presbyterian Church</t>
  </si>
  <si>
    <t>Ovid Federated Church</t>
  </si>
  <si>
    <t>Painted Post  Presbyterian Church</t>
  </si>
  <si>
    <t>Palmyra Western Church</t>
  </si>
  <si>
    <t>Penn Yan  Presbyterian Church</t>
  </si>
  <si>
    <t>Phelps United Church</t>
  </si>
  <si>
    <t>Pulteney Presbyterian Church</t>
  </si>
  <si>
    <t>Red Creek Presbyterian Church</t>
  </si>
  <si>
    <t>Rock Stream  Presbyterian Church</t>
  </si>
  <si>
    <t>Seneca #9  Presbyterian Church</t>
  </si>
  <si>
    <t>Seneca Falls Presbyterian Church</t>
  </si>
  <si>
    <t>Shortsville  Presbyterian  Church</t>
  </si>
  <si>
    <t>Sodus  Presbyterian Church</t>
  </si>
  <si>
    <t>Spencer Christ the King</t>
  </si>
  <si>
    <t>Trumansburg  Presbyterian Church</t>
  </si>
  <si>
    <t>Waterloo  Presbyterian Church</t>
  </si>
  <si>
    <t>Watkins Glen  Presbyterian Church</t>
  </si>
  <si>
    <t>Weston  Presbyterian Church</t>
  </si>
  <si>
    <t>Wolcott  Presbyterian Church</t>
  </si>
  <si>
    <t>In/Out</t>
  </si>
  <si>
    <t>West Virginia Mission</t>
  </si>
  <si>
    <t>Amount</t>
  </si>
  <si>
    <t>7215_D</t>
  </si>
  <si>
    <t>Presbytery Disaster Relief</t>
  </si>
  <si>
    <t>Class</t>
  </si>
  <si>
    <t>Centerforward Web Services, LLC</t>
  </si>
  <si>
    <t>74475.10</t>
  </si>
  <si>
    <t>Emergency Pastoral Care fund</t>
  </si>
  <si>
    <t>Community Bank, N.A.</t>
  </si>
  <si>
    <t>Labyrinth at Camp</t>
  </si>
  <si>
    <t xml:space="preserve">   Current Assets</t>
  </si>
  <si>
    <t xml:space="preserve">      Bank Accounts</t>
  </si>
  <si>
    <t xml:space="preserve">         103 Community Bank - Savings</t>
  </si>
  <si>
    <t xml:space="preserve">         104 Community Bank - CCCF</t>
  </si>
  <si>
    <t xml:space="preserve">         135 Presbyterian Foundation</t>
  </si>
  <si>
    <t xml:space="preserve">            135-1 Fidelity-Camp Whitman</t>
  </si>
  <si>
    <t xml:space="preserve">         Total 135 Presbyterian Foundation</t>
  </si>
  <si>
    <t xml:space="preserve">      Total Bank Accounts</t>
  </si>
  <si>
    <t xml:space="preserve">      Accounts Receivable</t>
  </si>
  <si>
    <t xml:space="preserve">         11000 Accounts Receivable</t>
  </si>
  <si>
    <t xml:space="preserve">         11001 A/R - YTD Adj</t>
  </si>
  <si>
    <t xml:space="preserve">      Total Accounts Receivable</t>
  </si>
  <si>
    <t xml:space="preserve">      Other Current Assets</t>
  </si>
  <si>
    <t xml:space="preserve">         12000 Undeposited Funds</t>
  </si>
  <si>
    <t xml:space="preserve">         13000 Inventory</t>
  </si>
  <si>
    <t xml:space="preserve">         14400 Prepaid Expenses</t>
  </si>
  <si>
    <t xml:space="preserve">      Total Other Current Assets</t>
  </si>
  <si>
    <t xml:space="preserve">   Total Current Assets</t>
  </si>
  <si>
    <t xml:space="preserve">   Fixed Assets</t>
  </si>
  <si>
    <t xml:space="preserve">      10000 Presbytery</t>
  </si>
  <si>
    <t xml:space="preserve">         14000 FA - Presbytery</t>
  </si>
  <si>
    <t xml:space="preserve">            14210 Building</t>
  </si>
  <si>
    <t xml:space="preserve">            14500 Leasehold improvements</t>
  </si>
  <si>
    <t xml:space="preserve">            14800 Furniture and Equipment</t>
  </si>
  <si>
    <t xml:space="preserve">         Total 14000 FA - Presbytery</t>
  </si>
  <si>
    <t xml:space="preserve">         14200 A/D - Presbytery</t>
  </si>
  <si>
    <t xml:space="preserve">            14100 Building - A/D</t>
  </si>
  <si>
    <t xml:space="preserve">            14510 Leasehold Improv - A/D</t>
  </si>
  <si>
    <t xml:space="preserve">            14810 Furniture &amp; Fixtures - A/D</t>
  </si>
  <si>
    <t xml:space="preserve">            15301 Accumulated Amortization</t>
  </si>
  <si>
    <t xml:space="preserve">         Total 14200 A/D - Presbytery</t>
  </si>
  <si>
    <t xml:space="preserve">         15000 FA - Camp</t>
  </si>
  <si>
    <t xml:space="preserve">            15100 Buildings</t>
  </si>
  <si>
    <t xml:space="preserve">            15150 Land</t>
  </si>
  <si>
    <t xml:space="preserve">            15200 Improvements</t>
  </si>
  <si>
    <t xml:space="preserve">            15300 Furniture &amp; Equipment</t>
  </si>
  <si>
    <t xml:space="preserve">               15310 Boats</t>
  </si>
  <si>
    <t xml:space="preserve">               15340 Vehicles/Tractors</t>
  </si>
  <si>
    <t xml:space="preserve">            Total 15600 Vehicles &amp; Boats</t>
  </si>
  <si>
    <t xml:space="preserve">         Total 15000 FA - Camp</t>
  </si>
  <si>
    <t xml:space="preserve">         15700 A/D - Camp</t>
  </si>
  <si>
    <t xml:space="preserve">            15110 Buildings - A/D</t>
  </si>
  <si>
    <t xml:space="preserve">            15450 Vehicles &amp; Boats - A/D</t>
  </si>
  <si>
    <t xml:space="preserve">               15311 Boats - A/D</t>
  </si>
  <si>
    <t xml:space="preserve">               15341 Vehicles - A/D</t>
  </si>
  <si>
    <t xml:space="preserve">            Total 15450 Vehicles &amp; Boats - A/D</t>
  </si>
  <si>
    <t xml:space="preserve">         Total 15700 A/D - Camp</t>
  </si>
  <si>
    <t xml:space="preserve">      Total 10000 Presbytery</t>
  </si>
  <si>
    <t xml:space="preserve">   Total Fixed Assets</t>
  </si>
  <si>
    <t xml:space="preserve">   Other Assets</t>
  </si>
  <si>
    <t xml:space="preserve">      300 Marketable Securities</t>
  </si>
  <si>
    <t xml:space="preserve">         303 Endowment-Presbytery Gen'l</t>
  </si>
  <si>
    <t xml:space="preserve">         304 Endowment- Camp Whitman</t>
  </si>
  <si>
    <t xml:space="preserve">         401 Int PF GP Endowment</t>
  </si>
  <si>
    <t xml:space="preserve">      Total 300 Marketable Securities</t>
  </si>
  <si>
    <t xml:space="preserve">   Total Other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</si>
  <si>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</si>
  <si>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</si>
  <si>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</si>
  <si>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</si>
  <si>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20000 Accounts Payable</t>
  </si>
  <si>
    <t xml:space="preserve">         Total Accounts Payable</t>
  </si>
  <si>
    <t xml:space="preserve">         Credit Cards</t>
  </si>
  <si>
    <t xml:space="preserve">         Total Credit Cards</t>
  </si>
  <si>
    <t xml:space="preserve">         Other Current Liabilities</t>
  </si>
  <si>
    <t xml:space="preserve">            26000 CB - Building Loan</t>
  </si>
  <si>
    <t xml:space="preserve">            26660 Accrued Payroll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</si>
  <si>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</si>
  <si>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</si>
  <si>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</si>
  <si>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</si>
  <si>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   3200.10 Operations</t>
  </si>
  <si>
    <t xml:space="preserve">         3200.20 Board Designated</t>
  </si>
  <si>
    <t xml:space="preserve">      Net Income</t>
  </si>
  <si>
    <t xml:space="preserve">   Total Equity</t>
  </si>
  <si>
    <t>TOTAL LIABILITIES AND EQUITY</t>
  </si>
  <si>
    <t xml:space="preserve">   4000.00 Presbytery Receipts</t>
  </si>
  <si>
    <t xml:space="preserve">      4200.00 Mission - Presbytery</t>
  </si>
  <si>
    <t xml:space="preserve">         3100_M Presbytery Mission</t>
  </si>
  <si>
    <t xml:space="preserve">         3101_M PM - YTD A/R Adj</t>
  </si>
  <si>
    <t xml:space="preserve">      Total 4200.00 Mission - Presbytery</t>
  </si>
  <si>
    <t xml:space="preserve">         4200 Operation</t>
  </si>
  <si>
    <t xml:space="preserve">            4200_O Presbytery Per Capita</t>
  </si>
  <si>
    <t xml:space="preserve">            4202_O PC - YTD A/R Adj</t>
  </si>
  <si>
    <t xml:space="preserve">         Total 4200 Operation</t>
  </si>
  <si>
    <t xml:space="preserve">      4303.00 Other Presbytery Reciepts</t>
  </si>
  <si>
    <t xml:space="preserve">         3200 Synod</t>
  </si>
  <si>
    <t xml:space="preserve">            3200_M Synod Mission</t>
  </si>
  <si>
    <t xml:space="preserve">         Total 3200 Synod</t>
  </si>
  <si>
    <t xml:space="preserve">         4440_O Miscellaneous</t>
  </si>
  <si>
    <t xml:space="preserve">         Total 4440_O Miscellaneous</t>
  </si>
  <si>
    <t xml:space="preserve">      Total 4303.00 Other Presbytery Reciepts</t>
  </si>
  <si>
    <t xml:space="preserve">   Total 4000.00 Presbytery Receipts</t>
  </si>
  <si>
    <t xml:space="preserve">   4999 CAMP WHITMAN INCOME</t>
  </si>
  <si>
    <t xml:space="preserve">      1001_W Camper &amp; Group Fees</t>
  </si>
  <si>
    <t xml:space="preserve">         1000_W Camper Fees</t>
  </si>
  <si>
    <t xml:space="preserve">         1050_W Rental Group Fees</t>
  </si>
  <si>
    <t xml:space="preserve">      Total 1001_W Camper &amp; Group Fees</t>
  </si>
  <si>
    <t xml:space="preserve">      1601_W Other Donations</t>
  </si>
  <si>
    <t xml:space="preserve">         1300_W Camp Mission/Scholarship Income</t>
  </si>
  <si>
    <t xml:space="preserve">            1350_W Pres. of Genesee Local Church</t>
  </si>
  <si>
    <t xml:space="preserve">            1400_W Pres. of Genesee Valley Mission</t>
  </si>
  <si>
    <t xml:space="preserve">         Total 1300_W Camp Mission/Scholarship Income</t>
  </si>
  <si>
    <t xml:space="preserve">         1600_W Misc. Income</t>
  </si>
  <si>
    <t xml:space="preserve">      Total 1601_W Other Donations</t>
  </si>
  <si>
    <t xml:space="preserve">   Total 4999 CAMP WHITMAN INCOME</t>
  </si>
  <si>
    <t>Expenses</t>
  </si>
  <si>
    <t xml:space="preserve">   2111 CAMP WHITMAN EXPENDITURES</t>
  </si>
  <si>
    <t xml:space="preserve">      2113_W Year Round Staff Salaries</t>
  </si>
  <si>
    <t xml:space="preserve">         2603_W Camp Director</t>
  </si>
  <si>
    <t xml:space="preserve">            2661_W Cash Salary</t>
  </si>
  <si>
    <t xml:space="preserve">            2663_W Board of Pension</t>
  </si>
  <si>
    <t xml:space="preserve">         Total 2603_W Camp Director</t>
  </si>
  <si>
    <t xml:space="preserve">      Total 2113_W Year Round Staff Salaries</t>
  </si>
  <si>
    <t xml:space="preserve">      2117_W Camp Payroll Other</t>
  </si>
  <si>
    <t xml:space="preserve">         2125_W FICA_Camp</t>
  </si>
  <si>
    <t xml:space="preserve">         2127_W Recruitement</t>
  </si>
  <si>
    <t xml:space="preserve">      2200_W Program Expense</t>
  </si>
  <si>
    <t xml:space="preserve">         2205_W Bank Fees</t>
  </si>
  <si>
    <t xml:space="preserve">         2210_W Computer Software &amp; Support</t>
  </si>
  <si>
    <t xml:space="preserve">         2251_W Office Expenses/Support</t>
  </si>
  <si>
    <t xml:space="preserve">            2255_W Postage</t>
  </si>
  <si>
    <t xml:space="preserve">         Total 2251_W Office Expenses/Support</t>
  </si>
  <si>
    <t xml:space="preserve">         2256_W Professional Developement</t>
  </si>
  <si>
    <t xml:space="preserve">         2275_W Registration Materials</t>
  </si>
  <si>
    <t xml:space="preserve">         2290_W Marketing &amp; Advertising</t>
  </si>
  <si>
    <t xml:space="preserve">         2750_W Permits/Memberships</t>
  </si>
  <si>
    <t xml:space="preserve">      Total 2200_W Program Expense</t>
  </si>
  <si>
    <t xml:space="preserve">      2500.00 Camp Operating Expenses</t>
  </si>
  <si>
    <t xml:space="preserve">         2150_W Insurance</t>
  </si>
  <si>
    <t xml:space="preserve">            2155_W Property/Liability/Accident</t>
  </si>
  <si>
    <t xml:space="preserve">         Total 2150_W Insurance</t>
  </si>
  <si>
    <t xml:space="preserve">         2300_W Utilities</t>
  </si>
  <si>
    <t xml:space="preserve">            2310_W Telephone &amp; Internet</t>
  </si>
  <si>
    <t xml:space="preserve">         Total 2300_W Utilities</t>
  </si>
  <si>
    <t xml:space="preserve">      Total 2500.00 Camp Operating Expenses</t>
  </si>
  <si>
    <t xml:space="preserve">   Total 2111 CAMP WHITMAN EXPENDITURES</t>
  </si>
  <si>
    <t xml:space="preserve">   2222.00 Presbytery Expenses</t>
  </si>
  <si>
    <t xml:space="preserve">      6000_O Salaries and Benefits</t>
  </si>
  <si>
    <t xml:space="preserve">         6001_O Executive Salaries</t>
  </si>
  <si>
    <t xml:space="preserve">         Total 6001_O Executive Salaries</t>
  </si>
  <si>
    <t xml:space="preserve">         6020_O Stated Clerk</t>
  </si>
  <si>
    <t xml:space="preserve">            6021_O Cash Salary</t>
  </si>
  <si>
    <t xml:space="preserve">         Total 6020_O Stated Clerk</t>
  </si>
  <si>
    <t xml:space="preserve">            6036_O Board of Pension/Fidelity Inv.</t>
  </si>
  <si>
    <t xml:space="preserve">         6222_O Benefits</t>
  </si>
  <si>
    <t xml:space="preserve">            6220_O Disability Insurance</t>
  </si>
  <si>
    <t xml:space="preserve">         Total 6222_O Benefits</t>
  </si>
  <si>
    <t xml:space="preserve">      Total 6000_O Salaries and Benefits</t>
  </si>
  <si>
    <t xml:space="preserve">      7100.00 Operating Expenses</t>
  </si>
  <si>
    <t xml:space="preserve">         6600_O Office Expenses</t>
  </si>
  <si>
    <t xml:space="preserve">            6615_O Maintenance &amp; Repairs</t>
  </si>
  <si>
    <t xml:space="preserve">            6620_O Utilities</t>
  </si>
  <si>
    <t xml:space="preserve">            6630_O Telephone</t>
  </si>
  <si>
    <t xml:space="preserve">            6651_O Bank Fees</t>
  </si>
  <si>
    <t xml:space="preserve">            6655_O Equip. Leases/Service Contracts</t>
  </si>
  <si>
    <t xml:space="preserve">            6660_O Equipment Purchases</t>
  </si>
  <si>
    <t xml:space="preserve">            6661_O Computer Software-Hardware</t>
  </si>
  <si>
    <t xml:space="preserve">            6665_O Website</t>
  </si>
  <si>
    <t xml:space="preserve">            6670_O Office Supplies &amp; Hospitality</t>
  </si>
  <si>
    <t xml:space="preserve">            6755_O Building Loan</t>
  </si>
  <si>
    <t xml:space="preserve">         Total 6600_O Office Expenses</t>
  </si>
  <si>
    <t xml:space="preserve">         6700 Other Operating Expenses</t>
  </si>
  <si>
    <t xml:space="preserve">            6720_O Insurance-Office</t>
  </si>
  <si>
    <t xml:space="preserve">            6770_O GA/Synod Meetings</t>
  </si>
  <si>
    <t xml:space="preserve">         Total 6700 Other Operating Expenses</t>
  </si>
  <si>
    <t xml:space="preserve">      Total 7100.00 Operating Expenses</t>
  </si>
  <si>
    <t xml:space="preserve">   Total 2222.00 Presbytery Expenses</t>
  </si>
  <si>
    <t>Total Expenses</t>
  </si>
  <si>
    <t>Net Operating Income</t>
  </si>
  <si>
    <t xml:space="preserve">   7000 DEDICATED INCOME</t>
  </si>
  <si>
    <t xml:space="preserve">      7150_D Two-Cents-A-Meal</t>
  </si>
  <si>
    <t xml:space="preserve">   Total 7000 DEDICATED INCOME</t>
  </si>
  <si>
    <t xml:space="preserve">         2243_W Committee Exp.</t>
  </si>
  <si>
    <t>Profit and Loss Detail</t>
  </si>
  <si>
    <t>Transaction Type</t>
  </si>
  <si>
    <t>Memo/Description</t>
  </si>
  <si>
    <t>Ordinary Income/Expenses</t>
  </si>
  <si>
    <t xml:space="preserve">   Income</t>
  </si>
  <si>
    <t xml:space="preserve">      4000.00 Presbytery Receipts</t>
  </si>
  <si>
    <t xml:space="preserve">            4200 Operation</t>
  </si>
  <si>
    <t>Journal Entry</t>
  </si>
  <si>
    <t xml:space="preserve">               4202_O PC - YTD A/R Adj</t>
  </si>
  <si>
    <t xml:space="preserve">               Total for 4202_O PC - YTD A/R Adj</t>
  </si>
  <si>
    <t xml:space="preserve">         4200.00 Mission - Presbytery</t>
  </si>
  <si>
    <t xml:space="preserve">            3100_M Presbytery Mission</t>
  </si>
  <si>
    <t xml:space="preserve">            Total for 3100_M Presbytery Mission</t>
  </si>
  <si>
    <t xml:space="preserve">            3101_M PM - YTD A/R Adj</t>
  </si>
  <si>
    <t xml:space="preserve">            Total for 3101_M PM - YTD A/R Adj</t>
  </si>
  <si>
    <t xml:space="preserve">         Total for 4200.00 Mission - Presbytery</t>
  </si>
  <si>
    <t xml:space="preserve">      Total for 4000.00 Presbytery Receipts</t>
  </si>
  <si>
    <t xml:space="preserve">      4999 CAMP WHITMAN INCOME</t>
  </si>
  <si>
    <t xml:space="preserve">         1601_W Other Donations</t>
  </si>
  <si>
    <t xml:space="preserve">            1300_W Camp Mission/Scholarship Income</t>
  </si>
  <si>
    <t xml:space="preserve">   Total for Income</t>
  </si>
  <si>
    <t xml:space="preserve">   Expenses</t>
  </si>
  <si>
    <t xml:space="preserve">      2111 CAMP WHITMAN EXPENDITURES</t>
  </si>
  <si>
    <t xml:space="preserve">         2113_W Year Round Staff Salaries</t>
  </si>
  <si>
    <t xml:space="preserve">            2603_W Camp Director</t>
  </si>
  <si>
    <t xml:space="preserve">               2661_W Cash Salary</t>
  </si>
  <si>
    <t xml:space="preserve">         2117_W Camp Payroll Other</t>
  </si>
  <si>
    <t xml:space="preserve">         2200_W Program Expense</t>
  </si>
  <si>
    <t xml:space="preserve">            2210_W Computer Software &amp; Support</t>
  </si>
  <si>
    <t xml:space="preserve">            2235_W Mileage/Meals for Staff</t>
  </si>
  <si>
    <t xml:space="preserve">         2500.00 Camp Operating Expenses</t>
  </si>
  <si>
    <t xml:space="preserve">      2222.00 Presbytery Expenses</t>
  </si>
  <si>
    <t xml:space="preserve">         6000_O Salaries and Benefits</t>
  </si>
  <si>
    <t xml:space="preserve">            6020_O Stated Clerk</t>
  </si>
  <si>
    <t xml:space="preserve">               6021_O Cash Salary</t>
  </si>
  <si>
    <t xml:space="preserve">               Total for 6021_O Cash Salary</t>
  </si>
  <si>
    <t xml:space="preserve">            Total for 6020_O Stated Clerk</t>
  </si>
  <si>
    <t xml:space="preserve">         Total for 6000_O Salaries and Benefits</t>
  </si>
  <si>
    <t xml:space="preserve">         7100.00 Operating Expenses</t>
  </si>
  <si>
    <t xml:space="preserve">            6600_O Office Expenses</t>
  </si>
  <si>
    <t xml:space="preserve">               6630_O Telephone</t>
  </si>
  <si>
    <t xml:space="preserve">               Total for 6630_O Telephone</t>
  </si>
  <si>
    <t xml:space="preserve">               6661_O Computer Software-Hardware</t>
  </si>
  <si>
    <t xml:space="preserve">               Total for 6661_O Computer Software-Hardware</t>
  </si>
  <si>
    <t xml:space="preserve">            6800 Outside Contractors</t>
  </si>
  <si>
    <t xml:space="preserve">               6810_O Payroll Service</t>
  </si>
  <si>
    <t xml:space="preserve">         Total for 7100.00 Operating Expenses</t>
  </si>
  <si>
    <t xml:space="preserve">      Total for 2222.00 Presbytery Expenses</t>
  </si>
  <si>
    <t xml:space="preserve">   Total for Expenses</t>
  </si>
  <si>
    <t xml:space="preserve">            1500_W Pres. of Geneva Endowment Int</t>
  </si>
  <si>
    <t xml:space="preserve">            1550_W Pres. of Geneva Mission Pledge</t>
  </si>
  <si>
    <t xml:space="preserve">         1610_W Fund Raising Events</t>
  </si>
  <si>
    <t xml:space="preserve">         1662_W Camp Store</t>
  </si>
  <si>
    <t xml:space="preserve">      2000.20 Camp Summer Salaries</t>
  </si>
  <si>
    <t xml:space="preserve">         2010_W Aquatic Director</t>
  </si>
  <si>
    <t xml:space="preserve">         2032_W Nurse</t>
  </si>
  <si>
    <t xml:space="preserve">         2040_W Head Cook</t>
  </si>
  <si>
    <t xml:space="preserve">         2110_W Counselors</t>
  </si>
  <si>
    <t xml:space="preserve">      Total 2000.20 Camp Summer Salaries</t>
  </si>
  <si>
    <t xml:space="preserve">         2604_W Camp Property Manager</t>
  </si>
  <si>
    <t xml:space="preserve">            2665_W Cash Salary</t>
  </si>
  <si>
    <t xml:space="preserve">         Total 2604_W Camp Property Manager</t>
  </si>
  <si>
    <t xml:space="preserve">         2605_W Assistant Property Manager</t>
  </si>
  <si>
    <t xml:space="preserve">            2668_W Cash Salary</t>
  </si>
  <si>
    <t xml:space="preserve">         2120_W Workers Comp_Camp</t>
  </si>
  <si>
    <t xml:space="preserve">         2225_W Arts &amp; Crafts</t>
  </si>
  <si>
    <t xml:space="preserve">         2230_W General Program Expenses</t>
  </si>
  <si>
    <t xml:space="preserve">            2252_W Office Supplies</t>
  </si>
  <si>
    <t xml:space="preserve">         2270_W Camp Store</t>
  </si>
  <si>
    <t xml:space="preserve">         2271_W Staff T Shirts</t>
  </si>
  <si>
    <t xml:space="preserve">         2280_W Program Equipment</t>
  </si>
  <si>
    <t xml:space="preserve">         2291_W Website</t>
  </si>
  <si>
    <t xml:space="preserve">         2400_W Swimming Pool</t>
  </si>
  <si>
    <t xml:space="preserve">            2410_W Chemicals</t>
  </si>
  <si>
    <t xml:space="preserve">            2420_W Equipment and Repair</t>
  </si>
  <si>
    <t xml:space="preserve">         Total 2400_W Swimming Pool</t>
  </si>
  <si>
    <t xml:space="preserve">         2500_W Lakefront</t>
  </si>
  <si>
    <t xml:space="preserve">            2510_W Boat Maintenance &amp; Repair</t>
  </si>
  <si>
    <t xml:space="preserve">            2530_W Equipment &amp; Repair</t>
  </si>
  <si>
    <t xml:space="preserve">         Total 2500_W Lakefront</t>
  </si>
  <si>
    <t xml:space="preserve">         2600_W Medical</t>
  </si>
  <si>
    <t xml:space="preserve">            2610_W Medical Supplies &amp; Equipment</t>
  </si>
  <si>
    <t xml:space="preserve">         Total 2600_W Medical</t>
  </si>
  <si>
    <t xml:space="preserve">         2700_W Kitchen</t>
  </si>
  <si>
    <t xml:space="preserve">            2710_W Food</t>
  </si>
  <si>
    <t xml:space="preserve">            2720_W Kitchen &amp; Cleaning Supplies</t>
  </si>
  <si>
    <t xml:space="preserve">            2730_W Equipment &amp; Repair</t>
  </si>
  <si>
    <t xml:space="preserve">         Total 2700_W Kitchen</t>
  </si>
  <si>
    <t xml:space="preserve">            2154_W Vehicle</t>
  </si>
  <si>
    <t xml:space="preserve">            2320_W Electric</t>
  </si>
  <si>
    <t xml:space="preserve">            2330_W Propane Gas</t>
  </si>
  <si>
    <t xml:space="preserve">         2800_W Vehicle Maintenance</t>
  </si>
  <si>
    <t xml:space="preserve">            2810_W Cars &amp; Trucks</t>
  </si>
  <si>
    <t xml:space="preserve">            2820_W Tractor</t>
  </si>
  <si>
    <t xml:space="preserve">            2830_W Golf Carts</t>
  </si>
  <si>
    <t xml:space="preserve">            2840_W Mower</t>
  </si>
  <si>
    <t xml:space="preserve">            2850_W Fuel</t>
  </si>
  <si>
    <t xml:space="preserve">            2860_W Large Equip</t>
  </si>
  <si>
    <t xml:space="preserve">         Total 2800_W Vehicle Maintenance</t>
  </si>
  <si>
    <t xml:space="preserve">         2900 General Maintenance</t>
  </si>
  <si>
    <t xml:space="preserve">            2910_W Small Equipment Repair</t>
  </si>
  <si>
    <t xml:space="preserve">            2920_W New Equipment &amp; Tools</t>
  </si>
  <si>
    <t xml:space="preserve">            2940_W Port a Johns</t>
  </si>
  <si>
    <t xml:space="preserve">            2950_W Refuse Removal Fees</t>
  </si>
  <si>
    <t xml:space="preserve">            2960_W Fire Extinguishers</t>
  </si>
  <si>
    <t xml:space="preserve">            2970_W General Supplies</t>
  </si>
  <si>
    <t xml:space="preserve">            2980_W Water System Supplies &amp; Repairs</t>
  </si>
  <si>
    <t xml:space="preserve">            2990_W Lumber &amp; Building Supplies</t>
  </si>
  <si>
    <t xml:space="preserve">         Total 2900 General Maintenance</t>
  </si>
  <si>
    <t xml:space="preserve">            6027_O Travel/Business</t>
  </si>
  <si>
    <t xml:space="preserve">            6250_O Worker's Comp</t>
  </si>
  <si>
    <t xml:space="preserve">            6270_O Unemployment Insurance</t>
  </si>
  <si>
    <t xml:space="preserve">      6800.00 MISSION EXPENDITURES</t>
  </si>
  <si>
    <t xml:space="preserve">         5100_M Presbytery Endorsed Projects</t>
  </si>
  <si>
    <t xml:space="preserve">            5155_M Youth Triennium</t>
  </si>
  <si>
    <t xml:space="preserve">         Total 5100_M Presbytery Endorsed Projects</t>
  </si>
  <si>
    <t xml:space="preserve">         5350_M Mission Allocation to Camp</t>
  </si>
  <si>
    <t xml:space="preserve">         6500_M Mission Priority of Presbytery</t>
  </si>
  <si>
    <t xml:space="preserve">         Total 6500_M Mission Priority of Presbytery</t>
  </si>
  <si>
    <t xml:space="preserve">      Total 6800.00 MISSION EXPENDITURES</t>
  </si>
  <si>
    <t xml:space="preserve">            6730_O Synod Per Capita</t>
  </si>
  <si>
    <t xml:space="preserve">            6740_O GA Per Capita</t>
  </si>
  <si>
    <t xml:space="preserve">            6775_O Presbytery Meeting Expenses</t>
  </si>
  <si>
    <t xml:space="preserve">            6795_O Staff Travel</t>
  </si>
  <si>
    <t xml:space="preserve">      3200.00 Net Assets without Restrictions</t>
  </si>
  <si>
    <t xml:space="preserve">      Total 3200.00 Net Assets without Restrictions</t>
  </si>
  <si>
    <t xml:space="preserve">      3440.00 Net Assets with Restrictions</t>
  </si>
  <si>
    <t xml:space="preserve">         3440.10 Perm. Restricted Net Assets</t>
  </si>
  <si>
    <t xml:space="preserve">      Total 3440.00 Net Assets with Restrictions</t>
  </si>
  <si>
    <t xml:space="preserve">            1301_W Misc Camper Donations/Scholar.</t>
  </si>
  <si>
    <t xml:space="preserve">               1550_W Pres. of Geneva Mission Pledge</t>
  </si>
  <si>
    <t xml:space="preserve">         6800.00 MISSION EXPENDITURES</t>
  </si>
  <si>
    <t xml:space="preserve">            5350_M Mission Allocation to Camp</t>
  </si>
  <si>
    <t xml:space="preserve">            Total for 5350_M Mission Allocation to Camp</t>
  </si>
  <si>
    <t xml:space="preserve">         Total for 6800.00 MISSION EXPENDITURES</t>
  </si>
  <si>
    <t xml:space="preserve">         2725_W Fund Raising Expenses</t>
  </si>
  <si>
    <t xml:space="preserve">            6900 Professional Fees</t>
  </si>
  <si>
    <t xml:space="preserve">      4200_OP Per Capita</t>
  </si>
  <si>
    <t xml:space="preserve">      Total 4200_OP Per Capita</t>
  </si>
  <si>
    <t xml:space="preserve">         2128_W Payroll Service Fees</t>
  </si>
  <si>
    <t xml:space="preserve">         4200_OP Per Capita</t>
  </si>
  <si>
    <t xml:space="preserve">            6504_M Leader Care</t>
  </si>
  <si>
    <t xml:space="preserve">            6509_M Vitality</t>
  </si>
  <si>
    <t xml:space="preserve">            6511_M Committee on Ministry</t>
  </si>
  <si>
    <t xml:space="preserve">            6662_O Committee Expenses</t>
  </si>
  <si>
    <t xml:space="preserve">            6750_O Legal Expenses</t>
  </si>
  <si>
    <t xml:space="preserve">         2101_W CIT &amp; Mission Trip Leader</t>
  </si>
  <si>
    <t xml:space="preserve">         2265_W Staff Training</t>
  </si>
  <si>
    <t xml:space="preserve">            2731_W Kitchen Supplies/Equipment</t>
  </si>
  <si>
    <t xml:space="preserve">            2865_W Vehicle Rental</t>
  </si>
  <si>
    <t xml:space="preserve">         Total for 4200_OP Per Capita</t>
  </si>
  <si>
    <t xml:space="preserve">            1450_W Pres. of Geneva Churches</t>
  </si>
  <si>
    <t xml:space="preserve">            6685_O Staff Development</t>
  </si>
  <si>
    <t>Enterprise Network Systems, Inc.</t>
  </si>
  <si>
    <t xml:space="preserve">            6700 Other Operating Expenses</t>
  </si>
  <si>
    <t xml:space="preserve">            Total for 6700 Other Operating Expenses</t>
  </si>
  <si>
    <t xml:space="preserve">               6820_O Bookkeeping</t>
  </si>
  <si>
    <t>Other Income/Expense</t>
  </si>
  <si>
    <t xml:space="preserve">   Other Income</t>
  </si>
  <si>
    <t xml:space="preserve">      7000 DEDICATED INCOME</t>
  </si>
  <si>
    <t xml:space="preserve">         7150_D Two-Cents-A-Meal</t>
  </si>
  <si>
    <t xml:space="preserve">         Total for 7150_D Two-Cents-A-Meal</t>
  </si>
  <si>
    <t xml:space="preserve">      Total for 7000 DEDICATED INCOME</t>
  </si>
  <si>
    <t xml:space="preserve">   Total for Other Income</t>
  </si>
  <si>
    <t>Small Church Fund</t>
  </si>
  <si>
    <t xml:space="preserve">               6910_O Auditor Contract</t>
  </si>
  <si>
    <t>Board Designated</t>
  </si>
  <si>
    <t>Unappropriated Endow Earnings - rest camp</t>
  </si>
  <si>
    <t>unappropriated Endow Earnings -</t>
  </si>
  <si>
    <t>Total</t>
  </si>
  <si>
    <t xml:space="preserve">            15320 Furniture &amp; Fixtures - A/D</t>
  </si>
  <si>
    <t xml:space="preserve">         3440.30 TR - Time Restricted</t>
  </si>
  <si>
    <t>Addison Presbyterian Church</t>
  </si>
  <si>
    <t xml:space="preserve">            6050_O Presbytery Leader</t>
  </si>
  <si>
    <t xml:space="preserve">            Total 6050_O Presbytery Leader</t>
  </si>
  <si>
    <t xml:space="preserve">               6057_O Study Leave</t>
  </si>
  <si>
    <t>Camp Whitman Scholarships</t>
  </si>
  <si>
    <t xml:space="preserve">            2930_W Pump Holding Tanks</t>
  </si>
  <si>
    <t xml:space="preserve">         5200_M Mission &amp; Witness (inc. grants)</t>
  </si>
  <si>
    <t>Andover Presbyterian Church</t>
  </si>
  <si>
    <t xml:space="preserve">            26555 Def Revenue Camp</t>
  </si>
  <si>
    <t xml:space="preserve">               6053_O SECA Offset/FICA</t>
  </si>
  <si>
    <t xml:space="preserve">            Total 6800 Outside Contractors</t>
  </si>
  <si>
    <t xml:space="preserve">            Total 6900 Professional Fees</t>
  </si>
  <si>
    <t xml:space="preserve">            2236_W Staff Appreciation</t>
  </si>
  <si>
    <t xml:space="preserve">               6051_O Cash Salary - Operations</t>
  </si>
  <si>
    <t xml:space="preserve">         2232_W Staff Expenses</t>
  </si>
  <si>
    <t xml:space="preserve">         Total 2232_W Staff Expenses</t>
  </si>
  <si>
    <t>Net Operating/Missions- income/expenses</t>
  </si>
  <si>
    <t>Net Other Income/other expenses</t>
  </si>
  <si>
    <t>Ties to Balance Sheet</t>
  </si>
  <si>
    <t xml:space="preserve">               6060_O - Fidelity - Retirement</t>
  </si>
  <si>
    <t xml:space="preserve">            6023_O Seca Offset/Fica</t>
  </si>
  <si>
    <t xml:space="preserve">            Payroll Liabilities</t>
  </si>
  <si>
    <t xml:space="preserve">               Direct Deposit Payable</t>
  </si>
  <si>
    <t xml:space="preserve">               NY PFL</t>
  </si>
  <si>
    <t xml:space="preserve">               NY SDI</t>
  </si>
  <si>
    <t xml:space="preserve">               NYS Employment Taxes</t>
  </si>
  <si>
    <t xml:space="preserve">            Total Payroll Liabilities</t>
  </si>
  <si>
    <t>Arkport Presbyterian Church</t>
  </si>
  <si>
    <t>Prattsburgh  Presbyterian Church</t>
  </si>
  <si>
    <t xml:space="preserve">            4500.O Interest</t>
  </si>
  <si>
    <t xml:space="preserve">              6840_O Computer Services</t>
  </si>
  <si>
    <t xml:space="preserve">            2300_W Utilities</t>
  </si>
  <si>
    <t xml:space="preserve">               6800 Outside Contractors</t>
  </si>
  <si>
    <t xml:space="preserve">                  6820_O Bookkeeping</t>
  </si>
  <si>
    <t>BLB Consultants LLC</t>
  </si>
  <si>
    <t xml:space="preserve">                  Total for 6820_O Bookkeeping</t>
  </si>
  <si>
    <t xml:space="preserve">               Total for 6800 Outside Contractors</t>
  </si>
  <si>
    <t>Vital Congregations Work</t>
  </si>
  <si>
    <t>Net Other Other - Investment gains/losses</t>
  </si>
  <si>
    <t>Ministry Support - Temporarily Restricted</t>
  </si>
  <si>
    <t>Camp - Temporarily Restricted</t>
  </si>
  <si>
    <t xml:space="preserve">            2128_W Payroll Service Fees</t>
  </si>
  <si>
    <t>to reclass Intuit Payroll</t>
  </si>
  <si>
    <t>Check</t>
  </si>
  <si>
    <t>to reclass Intuit software subscription</t>
  </si>
  <si>
    <t xml:space="preserve">                  6810_O Payroll Service</t>
  </si>
  <si>
    <t xml:space="preserve">                  Total for 6810_O Payroll Service</t>
  </si>
  <si>
    <t>Balance Sheet</t>
  </si>
  <si>
    <t xml:space="preserve">            2604_W Camp Property Manager</t>
  </si>
  <si>
    <t xml:space="preserve">               2665_W Cash Salary</t>
  </si>
  <si>
    <t xml:space="preserve">            2850.00 Community Bank</t>
  </si>
  <si>
    <t xml:space="preserve">            Total 2850.00 Community Bank</t>
  </si>
  <si>
    <t xml:space="preserve">               Total for 1550_W Pres. of Geneva Mission Pledge</t>
  </si>
  <si>
    <t xml:space="preserve">      Total for 4999 CAMP WHITMAN INCOME</t>
  </si>
  <si>
    <t xml:space="preserve">            Total for 2210_W Computer Software &amp; Support</t>
  </si>
  <si>
    <t xml:space="preserve">         Total for 2200_W Program Expense</t>
  </si>
  <si>
    <t xml:space="preserve">            Total for 2300_W Utilities</t>
  </si>
  <si>
    <t xml:space="preserve">         Total for 2500.00 Camp Operating Expenses</t>
  </si>
  <si>
    <t xml:space="preserve">      Total for 2111 CAMP WHITMAN EXPENDITURES</t>
  </si>
  <si>
    <t xml:space="preserve">            6023_O Payroll Taxes</t>
  </si>
  <si>
    <t xml:space="preserve">         2205_W BankFees/Commissions</t>
  </si>
  <si>
    <t xml:space="preserve">               2850.25 Susan Orr</t>
  </si>
  <si>
    <t xml:space="preserve">            2125_W Payroll Taxes - Camp</t>
  </si>
  <si>
    <t xml:space="preserve">            2205_W BankFees/Commissions</t>
  </si>
  <si>
    <t xml:space="preserve">            Total for 2205_W BankFees/Commissions</t>
  </si>
  <si>
    <t xml:space="preserve">               6023_O Payroll Taxes</t>
  </si>
  <si>
    <t xml:space="preserve">               Total for 6023_O Payroll Taxes</t>
  </si>
  <si>
    <t>CW Equipment Fund</t>
  </si>
  <si>
    <t xml:space="preserve">         101 Community Bank - Operating  (1525)</t>
  </si>
  <si>
    <t xml:space="preserve">         105 Community - Camp Checking (0670)</t>
  </si>
  <si>
    <t xml:space="preserve">         106 Community - Camp Savings 2473</t>
  </si>
  <si>
    <t xml:space="preserve">            6640_O Postage/PO Box</t>
  </si>
  <si>
    <t xml:space="preserve">         Total 6030_O Communication</t>
  </si>
  <si>
    <t>First Presbyterian Church of Shortsville</t>
  </si>
  <si>
    <t xml:space="preserve">               6651_O Bank Fees</t>
  </si>
  <si>
    <t xml:space="preserve">               Total for 6651_O Bank Fees</t>
  </si>
  <si>
    <t>8124_D</t>
  </si>
  <si>
    <t>8156_D</t>
  </si>
  <si>
    <t xml:space="preserve">            6790_O Moving Expenses</t>
  </si>
  <si>
    <t>Weston</t>
  </si>
  <si>
    <t>Wolcott</t>
  </si>
  <si>
    <t>Naples</t>
  </si>
  <si>
    <t>Presbytary Mission</t>
  </si>
  <si>
    <t xml:space="preserve">         1100_W Holiday Weekend Rental Fees</t>
  </si>
  <si>
    <t xml:space="preserve">         1557_W Meals/Program Fees</t>
  </si>
  <si>
    <t xml:space="preserve">            1551_W Membership Dues</t>
  </si>
  <si>
    <t xml:space="preserve">        2020_W Program Staff/Life Guards</t>
  </si>
  <si>
    <t xml:space="preserve">            2611_W Cash Salary</t>
  </si>
  <si>
    <t xml:space="preserve">            2254_W Staff Travel</t>
  </si>
  <si>
    <t xml:space="preserve">               6058_O Travel/Business </t>
  </si>
  <si>
    <t xml:space="preserve">         6030_O Administrative Service</t>
  </si>
  <si>
    <t xml:space="preserve">            6031_O Cash Salary - Communication</t>
  </si>
  <si>
    <t xml:space="preserve">            6041_O Cash Salary - Financial Assistant</t>
  </si>
  <si>
    <t xml:space="preserve">            6065-O Payroll Taxes</t>
  </si>
  <si>
    <t xml:space="preserve">           6756_O - Home Office reimbursement</t>
  </si>
  <si>
    <t xml:space="preserve">            6856_O Rent Storage Space</t>
  </si>
  <si>
    <t xml:space="preserve">            6031_O Cash Salary - Communications</t>
  </si>
  <si>
    <t xml:space="preserve">         Total 6030_O Administrative Service</t>
  </si>
  <si>
    <t xml:space="preserve">            6756_O Home Office Reimbursement</t>
  </si>
  <si>
    <t>Campbrain</t>
  </si>
  <si>
    <t xml:space="preserve">            6030_O Administrative Service</t>
  </si>
  <si>
    <t xml:space="preserve">               6031_O Cash Salary - Communications</t>
  </si>
  <si>
    <t xml:space="preserve">               Total for 6031_O Cash Salary - Communications</t>
  </si>
  <si>
    <t xml:space="preserve">            Total for 6030_O Administrative Service</t>
  </si>
  <si>
    <t xml:space="preserve">               6756_O Home Office Reimbursement</t>
  </si>
  <si>
    <t xml:space="preserve">               Total for 6756_O Home Office Reimbursement</t>
  </si>
  <si>
    <t xml:space="preserve">               6856_O Rent Storage Space</t>
  </si>
  <si>
    <t xml:space="preserve">               Total for 6856_O Rent Storage Space</t>
  </si>
  <si>
    <t>Continuing Education Scholarhips for Leaders</t>
  </si>
  <si>
    <t xml:space="preserve">             6058_M - Travel Business Mission</t>
  </si>
  <si>
    <t>Forte</t>
  </si>
  <si>
    <t>EFT</t>
  </si>
  <si>
    <t xml:space="preserve">         102 Community Savings - MM</t>
  </si>
  <si>
    <t xml:space="preserve">         110 Community Bank - Mexico Mission</t>
  </si>
  <si>
    <t xml:space="preserve">         120 PayPal</t>
  </si>
  <si>
    <t xml:space="preserve">         130 Presbytery Mission Exchange</t>
  </si>
  <si>
    <t xml:space="preserve">            14900 Vehicles</t>
  </si>
  <si>
    <t xml:space="preserve">            15210 Improvements - A/D</t>
  </si>
  <si>
    <t xml:space="preserve">         301 Smith Barney MM - 13902-19</t>
  </si>
  <si>
    <t xml:space="preserve">         301.1 Morgan Stanley - MM 111909</t>
  </si>
  <si>
    <t xml:space="preserve">            301.11 Cash, MM</t>
  </si>
  <si>
    <t xml:space="preserve">            301.13 Stocks</t>
  </si>
  <si>
    <t xml:space="preserve">            301.14 Mutual Funds</t>
  </si>
  <si>
    <t xml:space="preserve">         Total 301.1 Morgan Stanley - MM 111909</t>
  </si>
  <si>
    <t xml:space="preserve">         302 Endowment- Canoga Church</t>
  </si>
  <si>
    <t xml:space="preserve">               2850.10 Elena Delhagen</t>
  </si>
  <si>
    <t xml:space="preserve">               2850.20 Lea Kone</t>
  </si>
  <si>
    <t xml:space="preserve">            26510 Due to</t>
  </si>
  <si>
    <t xml:space="preserve">            26550 Deferred Revenue</t>
  </si>
  <si>
    <t xml:space="preserve">            27850 Due To - NCD Special Offering</t>
  </si>
  <si>
    <t xml:space="preserve">            6280 Federal Witholding</t>
  </si>
  <si>
    <t xml:space="preserve">            6285 FICA-Employee Share</t>
  </si>
  <si>
    <t xml:space="preserve">            6290 State Witholding</t>
  </si>
  <si>
    <t>Depreciation (Building Sale</t>
  </si>
  <si>
    <t xml:space="preserve">         </t>
  </si>
  <si>
    <t xml:space="preserve">            6041_O Cash Salary (Financial Assistant)</t>
  </si>
  <si>
    <t xml:space="preserve">            2291_W Website</t>
  </si>
  <si>
    <t xml:space="preserve">            Total for 2291_W Website</t>
  </si>
  <si>
    <t>Google</t>
  </si>
  <si>
    <t xml:space="preserve">               6041_O Cash Salary (Financial Assistant)</t>
  </si>
  <si>
    <t xml:space="preserve">               Total for 6041_O Cash Salary (Financial Assistant)</t>
  </si>
  <si>
    <t>Monthly storage space rental</t>
  </si>
  <si>
    <t>Restricted
Income</t>
  </si>
  <si>
    <t>Reallocations General</t>
  </si>
  <si>
    <t>Other Budget Support Fund Expenses</t>
  </si>
  <si>
    <t>Prior Year adjustment</t>
  </si>
  <si>
    <t>Net Dedicated Accounts</t>
  </si>
  <si>
    <t>Net Camp Activity</t>
  </si>
  <si>
    <t>Income YTD - New Covenent - Operations</t>
  </si>
  <si>
    <t xml:space="preserve">         2090_W DD Camp Coordinator</t>
  </si>
  <si>
    <t xml:space="preserve">        2015_W Office Assistant</t>
  </si>
  <si>
    <t xml:space="preserve">               CA PIT / SDI</t>
  </si>
  <si>
    <t xml:space="preserve">               CT Income Tax</t>
  </si>
  <si>
    <t xml:space="preserve">               ME Income Tax</t>
  </si>
  <si>
    <t>8175_D</t>
  </si>
  <si>
    <t xml:space="preserve">         3440.40 TR-Unappropriated Endowment Earnings</t>
  </si>
  <si>
    <t xml:space="preserve">         2099_W Uncategorized Expenses Camp</t>
  </si>
  <si>
    <t>Vitality</t>
  </si>
  <si>
    <t xml:space="preserve">            6027_O Per diem</t>
  </si>
  <si>
    <t xml:space="preserve">          5135_O - New Church Development</t>
  </si>
  <si>
    <t xml:space="preserve">            6715_O -  Dues</t>
  </si>
  <si>
    <t>Arkport</t>
  </si>
  <si>
    <t xml:space="preserve">            2100_W Graded Camp/Program  Co-ordinator</t>
  </si>
  <si>
    <t xml:space="preserve">                       Rental Group Host</t>
  </si>
  <si>
    <t xml:space="preserve">                       Housekeeping</t>
  </si>
  <si>
    <t xml:space="preserve">               6056_O Board of Pensions</t>
  </si>
  <si>
    <t>Synod Grant Camp</t>
  </si>
  <si>
    <t>Fusion on Fire</t>
  </si>
  <si>
    <t xml:space="preserve">            4500_O Interest Income</t>
  </si>
  <si>
    <t>To record YTD A/R adjustment</t>
  </si>
  <si>
    <t xml:space="preserve">         4303.00 Other Presbytery Reciepts</t>
  </si>
  <si>
    <t xml:space="preserve">            4440_O Miscellaneous</t>
  </si>
  <si>
    <t xml:space="preserve">               4500_O Interest Income</t>
  </si>
  <si>
    <t xml:space="preserve">               Total for 4500_O Interest Income</t>
  </si>
  <si>
    <t xml:space="preserve">            Total for 4440_O Miscellaneous</t>
  </si>
  <si>
    <t xml:space="preserve">         Total for 4303.00 Other Presbytery Reciepts</t>
  </si>
  <si>
    <t xml:space="preserve">            6001_O Executive Salaries</t>
  </si>
  <si>
    <t xml:space="preserve">               6050_O Presbytery Leader</t>
  </si>
  <si>
    <t xml:space="preserve">                  6051_O Cash Salary - Operations</t>
  </si>
  <si>
    <t xml:space="preserve">                  Total for 6051_O Cash Salary - Operations</t>
  </si>
  <si>
    <t xml:space="preserve">               Total for 6050_O Presbytery Leader</t>
  </si>
  <si>
    <t xml:space="preserve">            Total for 6001_O Executive Salaries</t>
  </si>
  <si>
    <t>Adobe</t>
  </si>
  <si>
    <t>Endowment - Presbytery - General</t>
  </si>
  <si>
    <t>Gains/Losses</t>
  </si>
  <si>
    <t>dividends/interest</t>
  </si>
  <si>
    <t xml:space="preserve">Draw </t>
  </si>
  <si>
    <t>New Covenant Funds</t>
  </si>
  <si>
    <t>Endowment - Camp Whitman</t>
  </si>
  <si>
    <t>After YE</t>
  </si>
  <si>
    <t xml:space="preserve">            6265_O Payroll Taxes - Admin Services</t>
  </si>
  <si>
    <t xml:space="preserve">            Total for 1300_W Camp Mission/Scholarship Income</t>
  </si>
  <si>
    <t xml:space="preserve">               6265_O Payroll Taxes - Admin Services</t>
  </si>
  <si>
    <t xml:space="preserve">               Total for 6265_O Payroll Taxes - Admin Services</t>
  </si>
  <si>
    <t xml:space="preserve">               6052_O Housing</t>
  </si>
  <si>
    <t>Hattie Hardman Fund</t>
  </si>
  <si>
    <t xml:space="preserve">          Undistributed income</t>
  </si>
  <si>
    <t xml:space="preserve">               MEMBER DENTAL</t>
  </si>
  <si>
    <t>7228_D</t>
  </si>
  <si>
    <t>8008_D</t>
  </si>
  <si>
    <t>8001_D</t>
  </si>
  <si>
    <t>8229_D</t>
  </si>
  <si>
    <t>8050_D</t>
  </si>
  <si>
    <t>7250_D</t>
  </si>
  <si>
    <t>7155_D</t>
  </si>
  <si>
    <t>7350_D</t>
  </si>
  <si>
    <t>7229_D</t>
  </si>
  <si>
    <t>7230_D</t>
  </si>
  <si>
    <t>8007_D</t>
  </si>
  <si>
    <t>USDA_NRCS</t>
  </si>
  <si>
    <t xml:space="preserve">         2045_W Assistant Cook</t>
  </si>
  <si>
    <t xml:space="preserve">         2103_W Chaplain Intern</t>
  </si>
  <si>
    <t xml:space="preserve">         2106_W Video/Media</t>
  </si>
  <si>
    <t xml:space="preserve">               MA Income Tax</t>
  </si>
  <si>
    <t xml:space="preserve">            2129_W NYS DBL</t>
  </si>
  <si>
    <t xml:space="preserve">            2995_W - Outside Contractors</t>
  </si>
  <si>
    <t xml:space="preserve">         2126_W Other/Outside Contractor</t>
  </si>
  <si>
    <t xml:space="preserve">        2222_W Permits</t>
  </si>
  <si>
    <t>Operations</t>
  </si>
  <si>
    <t xml:space="preserve">               28010 Federal Taxes (941/944)</t>
  </si>
  <si>
    <t xml:space="preserve">               28020 NYS Income Tax</t>
  </si>
  <si>
    <t>Paychex, Inc.</t>
  </si>
  <si>
    <t xml:space="preserve">         2102_W Program Director/Assistant Director</t>
  </si>
  <si>
    <t xml:space="preserve">         2214_W Registration &amp; Program Administration</t>
  </si>
  <si>
    <t xml:space="preserve">           2621_W Lawn Mowing</t>
  </si>
  <si>
    <t xml:space="preserve">           2622_W Maintenance</t>
  </si>
  <si>
    <t xml:space="preserve">           2623_W Housekeeping</t>
  </si>
  <si>
    <t xml:space="preserve">           2624_W Assistant Directro - Camper &amp; Counselor Care</t>
  </si>
  <si>
    <t xml:space="preserve">           2625_W Farm &amp; Garden Manager</t>
  </si>
  <si>
    <t xml:space="preserve">            6501_M - Other</t>
  </si>
  <si>
    <t xml:space="preserve">             6796 _O Travel Presbytery Mtgs</t>
  </si>
  <si>
    <t>Activity 2023</t>
  </si>
  <si>
    <t xml:space="preserve">               6054_O  Major Medical/Dental</t>
  </si>
  <si>
    <t>Profit and Loss</t>
  </si>
  <si>
    <t>7351._D</t>
  </si>
  <si>
    <t>Hammondsport Scholarship</t>
  </si>
  <si>
    <t xml:space="preserve">      7325_D In &amp; Out</t>
  </si>
  <si>
    <t xml:space="preserve">           9999 - Uncatergorized Exp</t>
  </si>
  <si>
    <t>Google Suite</t>
  </si>
  <si>
    <t xml:space="preserve">               2310_W Telephone &amp; Internet</t>
  </si>
  <si>
    <t xml:space="preserve">               Total for 2310_W Telephone &amp; Internet</t>
  </si>
  <si>
    <t xml:space="preserve">         7325_D In &amp; Out</t>
  </si>
  <si>
    <t xml:space="preserve">         Total for 7325_D In &amp; Out</t>
  </si>
  <si>
    <t xml:space="preserve">            6222_O Benefits</t>
  </si>
  <si>
    <t xml:space="preserve">            Total for 6222_O Benefits</t>
  </si>
  <si>
    <t>Elena Delhagen</t>
  </si>
  <si>
    <t xml:space="preserve">           6251_O other</t>
  </si>
  <si>
    <t>United church of Marion</t>
  </si>
  <si>
    <t>Software (monthly)</t>
  </si>
  <si>
    <t>Total 2117_W Camp Payroll Other</t>
  </si>
  <si>
    <t xml:space="preserve">          2526_W First Presbyterian </t>
  </si>
  <si>
    <t>Red Creek</t>
  </si>
  <si>
    <t xml:space="preserve">               6058_M travel Missions</t>
  </si>
  <si>
    <t xml:space="preserve">            6266_O Payroll taxes - Operations</t>
  </si>
  <si>
    <t xml:space="preserve">               6266_O Payroll taxes - Operations</t>
  </si>
  <si>
    <t xml:space="preserve">               Total for 6266_O Payroll taxes - Operations</t>
  </si>
  <si>
    <t>7226_W</t>
  </si>
  <si>
    <t>Grant Donation</t>
  </si>
  <si>
    <t xml:space="preserve">          6298_O FSA</t>
  </si>
  <si>
    <t xml:space="preserve">            6298_O FSA</t>
  </si>
  <si>
    <t xml:space="preserve">            27862 FSA</t>
  </si>
  <si>
    <t xml:space="preserve">            Payroll Corrections</t>
  </si>
  <si>
    <t xml:space="preserve">         3440.15 TR - Purpose Restrictions</t>
  </si>
  <si>
    <t xml:space="preserve">            2127_W Recruitement</t>
  </si>
  <si>
    <t xml:space="preserve">               6220_O Disability Insurance</t>
  </si>
  <si>
    <t xml:space="preserve">               Total for 6220_O Disability Insurance</t>
  </si>
  <si>
    <t xml:space="preserve">               6298_O FSA</t>
  </si>
  <si>
    <t>Further</t>
  </si>
  <si>
    <t>fees for fsa</t>
  </si>
  <si>
    <t xml:space="preserve">               Total for 6298_O FSA</t>
  </si>
  <si>
    <t xml:space="preserve">               6740_O GA Per Capita</t>
  </si>
  <si>
    <t>Office of General Assembly</t>
  </si>
  <si>
    <t xml:space="preserve">               Total for 6740_O GA Per Capita</t>
  </si>
  <si>
    <t>Total Camp Whitman Scholarships</t>
  </si>
  <si>
    <t>Camp Whitman Scholarship Account</t>
  </si>
  <si>
    <t xml:space="preserve">          1670_W Gift in Kind - Camp</t>
  </si>
  <si>
    <t xml:space="preserve">        2627_Hospitality Mananger</t>
  </si>
  <si>
    <t xml:space="preserve">            2156_W Nurse Malpractice Insurance</t>
  </si>
  <si>
    <t xml:space="preserve">          2728_W Gift in Kind Camp</t>
  </si>
  <si>
    <t>7126</t>
  </si>
  <si>
    <t>Hammondsport Mission Reserve</t>
  </si>
  <si>
    <t>Prior Year - AdJ Heveron</t>
  </si>
  <si>
    <t xml:space="preserve">         305 Camp Whitman Scholarship Fund</t>
  </si>
  <si>
    <t xml:space="preserve">            New York Department of Taxation and Finance Payable</t>
  </si>
  <si>
    <t xml:space="preserve">      32000 Unrestricted Net Assets</t>
  </si>
  <si>
    <t>To print</t>
  </si>
  <si>
    <t xml:space="preserve">         2060_W Kitchen Staff</t>
  </si>
  <si>
    <t xml:space="preserve">         2625_W Farm &amp; Gardner</t>
  </si>
  <si>
    <t xml:space="preserve">        2102_W  Program Director/Creative Week Director</t>
  </si>
  <si>
    <t xml:space="preserve">            2728_W GIK Camp</t>
  </si>
  <si>
    <t xml:space="preserve">      555 Property Dissolution of Church</t>
  </si>
  <si>
    <t xml:space="preserve">            4512_O  Undistributed Income</t>
  </si>
  <si>
    <t xml:space="preserve">      800 Opening Bal Equity</t>
  </si>
  <si>
    <t xml:space="preserve">            2214_W Camp - Registration Coordinator</t>
  </si>
  <si>
    <t>Run River Enterprises</t>
  </si>
  <si>
    <t>Search</t>
  </si>
  <si>
    <t>Keep</t>
  </si>
  <si>
    <t xml:space="preserve">                  6052_O Housing</t>
  </si>
  <si>
    <t xml:space="preserve">                  Total for 6052_O Housing</t>
  </si>
  <si>
    <t xml:space="preserve">                  6053_O SECA Offset/FICA</t>
  </si>
  <si>
    <t xml:space="preserve">                  Total for 6053_O SECA Offset/FICA</t>
  </si>
  <si>
    <t xml:space="preserve">           2237_W Mileage</t>
  </si>
  <si>
    <t xml:space="preserve">         12500 Start Up Cash</t>
  </si>
  <si>
    <t xml:space="preserve">         1700_W Undistributed Income - Camp</t>
  </si>
  <si>
    <t xml:space="preserve">         Total for 1700_W Undistributed Income - Camp</t>
  </si>
  <si>
    <t>12/18/23 - 12/31/23  ck date 1/5/2023</t>
  </si>
  <si>
    <t>Paid 2024</t>
  </si>
  <si>
    <t>2024  PER CAPITA &amp; MISSION</t>
  </si>
  <si>
    <t xml:space="preserve">              6154_O  - Presbytery Leader Formation </t>
  </si>
  <si>
    <t xml:space="preserve">Budget Overview: Camp 2024 Budget - FY23 P&amp;L </t>
  </si>
  <si>
    <t xml:space="preserve">          1665_W - Interest/Dividends - Investments</t>
  </si>
  <si>
    <t xml:space="preserve">             6669_O Reimbursements Staff</t>
  </si>
  <si>
    <t>East Palmyra</t>
  </si>
  <si>
    <t>Balance at 12/31/23</t>
  </si>
  <si>
    <t xml:space="preserve">       2129_W  NYS DBL</t>
  </si>
  <si>
    <t xml:space="preserve">            2662_W Major Medical</t>
  </si>
  <si>
    <t xml:space="preserve">Budget Overview: Operating &amp; Mission 2024 - FY24 P&amp;L </t>
  </si>
  <si>
    <t>01/01/2024</t>
  </si>
  <si>
    <t>rje155</t>
  </si>
  <si>
    <t xml:space="preserve">         Total for 1601_W Other Donations</t>
  </si>
  <si>
    <t>01/31/2024</t>
  </si>
  <si>
    <t>rje182</t>
  </si>
  <si>
    <t>01/19/2024</t>
  </si>
  <si>
    <t>rje180</t>
  </si>
  <si>
    <t>1/1/2024 - 1/14/2024  ck dat 1/19/2024</t>
  </si>
  <si>
    <t>01/28/2024</t>
  </si>
  <si>
    <t>rje179</t>
  </si>
  <si>
    <t>1/15/2024 - 1/28/2024  ck date 2/2/2024 (pass on accruing with in same quarter)</t>
  </si>
  <si>
    <t>01/05/2024</t>
  </si>
  <si>
    <t>rje159</t>
  </si>
  <si>
    <t xml:space="preserve">               2662_W Major Medical</t>
  </si>
  <si>
    <t>rje160R</t>
  </si>
  <si>
    <t>01/02/2024</t>
  </si>
  <si>
    <t>rje177</t>
  </si>
  <si>
    <t>01/04/2024</t>
  </si>
  <si>
    <t>MLK Day/gifts of the heart/Disaster Kits</t>
  </si>
  <si>
    <t>21245PC</t>
  </si>
  <si>
    <t>2024 Presbytery Per Capita
   Recommended Monthly Payment:  $</t>
  </si>
  <si>
    <t>21261PC</t>
  </si>
  <si>
    <t>21269PC</t>
  </si>
  <si>
    <t>21250PC</t>
  </si>
  <si>
    <t>21232PC</t>
  </si>
  <si>
    <t>21241PC</t>
  </si>
  <si>
    <t>21259PC</t>
  </si>
  <si>
    <t>21257PC</t>
  </si>
  <si>
    <t>21273PC</t>
  </si>
  <si>
    <t>21229PC</t>
  </si>
  <si>
    <t>21234PC</t>
  </si>
  <si>
    <t>21264PC</t>
  </si>
  <si>
    <t>21228PC</t>
  </si>
  <si>
    <t>21249PC</t>
  </si>
  <si>
    <t>21240PC</t>
  </si>
  <si>
    <t>21272PC</t>
  </si>
  <si>
    <t>21278PC</t>
  </si>
  <si>
    <t>21258PC</t>
  </si>
  <si>
    <t>21236PC</t>
  </si>
  <si>
    <t>21237PC</t>
  </si>
  <si>
    <t>21266PC</t>
  </si>
  <si>
    <t>21254PC</t>
  </si>
  <si>
    <t>21262PC</t>
  </si>
  <si>
    <t>21268PC</t>
  </si>
  <si>
    <t>21270PC</t>
  </si>
  <si>
    <t>21247PC</t>
  </si>
  <si>
    <t>21230PC</t>
  </si>
  <si>
    <t>21246PC</t>
  </si>
  <si>
    <t>21255PC</t>
  </si>
  <si>
    <t>21277PC</t>
  </si>
  <si>
    <t>21276PC</t>
  </si>
  <si>
    <t>21275PC</t>
  </si>
  <si>
    <t>21267PC</t>
  </si>
  <si>
    <t>21251PC</t>
  </si>
  <si>
    <t>21263PC</t>
  </si>
  <si>
    <t>21274PC</t>
  </si>
  <si>
    <t>21233PC</t>
  </si>
  <si>
    <t>21253PC</t>
  </si>
  <si>
    <t>21238PC</t>
  </si>
  <si>
    <t>21239PC</t>
  </si>
  <si>
    <t>21252PC</t>
  </si>
  <si>
    <t>21256PC</t>
  </si>
  <si>
    <t>21235PC</t>
  </si>
  <si>
    <t>21243PC</t>
  </si>
  <si>
    <t>21244PC</t>
  </si>
  <si>
    <t>21265PC</t>
  </si>
  <si>
    <t>21260PC</t>
  </si>
  <si>
    <t>21271PC</t>
  </si>
  <si>
    <t>21242PC</t>
  </si>
  <si>
    <t>21329PC</t>
  </si>
  <si>
    <t xml:space="preserve">               Total for 4200 Operation</t>
  </si>
  <si>
    <t>rje181</t>
  </si>
  <si>
    <t xml:space="preserve">            Total for 4200 Operation with sub-accounts</t>
  </si>
  <si>
    <t>01/23/2024</t>
  </si>
  <si>
    <t>01/30/2024</t>
  </si>
  <si>
    <t>Monthly telephone expense</t>
  </si>
  <si>
    <t>01/12/2024</t>
  </si>
  <si>
    <t>01/03/2024</t>
  </si>
  <si>
    <t>01/09/2024</t>
  </si>
  <si>
    <t>01/26/2024</t>
  </si>
  <si>
    <t>Jan 2024 Home Office Exp Reimb</t>
  </si>
  <si>
    <t>2024 Per Capita Invoice</t>
  </si>
  <si>
    <t>Jan 2024 Bookkeeping</t>
  </si>
  <si>
    <t>21310PM</t>
  </si>
  <si>
    <t>21320PM</t>
  </si>
  <si>
    <t>21327PM</t>
  </si>
  <si>
    <t>21281PM</t>
  </si>
  <si>
    <t>21295PM</t>
  </si>
  <si>
    <t>21288PM</t>
  </si>
  <si>
    <t>21291PM</t>
  </si>
  <si>
    <t>21299PM</t>
  </si>
  <si>
    <t>21312PM</t>
  </si>
  <si>
    <t>21308PM</t>
  </si>
  <si>
    <t>21305PM</t>
  </si>
  <si>
    <t>21313PM</t>
  </si>
  <si>
    <t>21321PM</t>
  </si>
  <si>
    <t>21324PM</t>
  </si>
  <si>
    <t>21287PM</t>
  </si>
  <si>
    <t>21303PM</t>
  </si>
  <si>
    <t>21297PM</t>
  </si>
  <si>
    <t>21315PM</t>
  </si>
  <si>
    <t>21293PM</t>
  </si>
  <si>
    <t>21316PM</t>
  </si>
  <si>
    <t>21317PM</t>
  </si>
  <si>
    <t>21311PM</t>
  </si>
  <si>
    <t>21282PM</t>
  </si>
  <si>
    <t>21283PM</t>
  </si>
  <si>
    <t>21289PM</t>
  </si>
  <si>
    <t>21306PM</t>
  </si>
  <si>
    <t>21319PM</t>
  </si>
  <si>
    <t>21280PM</t>
  </si>
  <si>
    <t>21284PM</t>
  </si>
  <si>
    <t>21322PM</t>
  </si>
  <si>
    <t>21323PM</t>
  </si>
  <si>
    <t>21286PM</t>
  </si>
  <si>
    <t>21294PM</t>
  </si>
  <si>
    <t>21325PM</t>
  </si>
  <si>
    <t>21304PM</t>
  </si>
  <si>
    <t>21307PM</t>
  </si>
  <si>
    <t>21301PM</t>
  </si>
  <si>
    <t>21314PM</t>
  </si>
  <si>
    <t>21292PM</t>
  </si>
  <si>
    <t>21290PM</t>
  </si>
  <si>
    <t>21328PM</t>
  </si>
  <si>
    <t>21298PM</t>
  </si>
  <si>
    <t>21300PM</t>
  </si>
  <si>
    <t>21285PM</t>
  </si>
  <si>
    <t>21302PM</t>
  </si>
  <si>
    <t>21318PM</t>
  </si>
  <si>
    <t>21309PM</t>
  </si>
  <si>
    <t>21279PM</t>
  </si>
  <si>
    <t>21330PM</t>
  </si>
  <si>
    <t>21331PM</t>
  </si>
  <si>
    <t>02/26/2024</t>
  </si>
  <si>
    <t>02/28/2024</t>
  </si>
  <si>
    <t xml:space="preserve">      1700_W Undistributed Income - Camp</t>
  </si>
  <si>
    <t xml:space="preserve">            2237_W Mileage</t>
  </si>
  <si>
    <t xml:space="preserve">               6056_O Board of Pensions/Medical</t>
  </si>
  <si>
    <t xml:space="preserve">               6154_O Presby Leader Formation Course</t>
  </si>
  <si>
    <t xml:space="preserve">        Uncatorgize Camp Expenses</t>
  </si>
  <si>
    <t xml:space="preserve">            4404_O Other - including Synod</t>
  </si>
  <si>
    <t>Other Expenses</t>
  </si>
  <si>
    <t xml:space="preserve">   8000 DEDICATED EXPENSES</t>
  </si>
  <si>
    <t xml:space="preserve">      8175_D In &amp; Out</t>
  </si>
  <si>
    <t xml:space="preserve">   Total 8000 DEDICATED EXPENSES</t>
  </si>
  <si>
    <t>Total Other Expenses</t>
  </si>
  <si>
    <t xml:space="preserve">         1001_W Camper &amp; Group Fees</t>
  </si>
  <si>
    <t xml:space="preserve">            1000_W Camper Fees</t>
  </si>
  <si>
    <t>rje184</t>
  </si>
  <si>
    <t>Gleason</t>
  </si>
  <si>
    <t>Sansano</t>
  </si>
  <si>
    <t>02/29/2024</t>
  </si>
  <si>
    <t>Sales Receipt</t>
  </si>
  <si>
    <t>21335PM</t>
  </si>
  <si>
    <t>Knapp, Edward</t>
  </si>
  <si>
    <t>21337PM</t>
  </si>
  <si>
    <t>Finger Lakes DDSO</t>
  </si>
  <si>
    <t>21336PM</t>
  </si>
  <si>
    <t>Carpenter, Timothy</t>
  </si>
  <si>
    <t>21333PM</t>
  </si>
  <si>
    <t>George Dorsch &amp; Helen</t>
  </si>
  <si>
    <t>rje193</t>
  </si>
  <si>
    <t>credit  2/5/2024</t>
  </si>
  <si>
    <t>2/27/24</t>
  </si>
  <si>
    <t>2/26/24</t>
  </si>
  <si>
    <t>2/21/2024</t>
  </si>
  <si>
    <t>2/20/2024</t>
  </si>
  <si>
    <t>2/13/2024</t>
  </si>
  <si>
    <t>2/8/2024</t>
  </si>
  <si>
    <t>2/6/2024</t>
  </si>
  <si>
    <t>2/5/2024</t>
  </si>
  <si>
    <t>2/2/2024</t>
  </si>
  <si>
    <t>21339PM</t>
  </si>
  <si>
    <t>Gilstrap, Jabril</t>
  </si>
  <si>
    <t xml:space="preserve">            Total for 1000_W Camper Fees</t>
  </si>
  <si>
    <t xml:space="preserve">         Total for 1001_W Camper &amp; Group Fees</t>
  </si>
  <si>
    <t xml:space="preserve">               1301_W Misc Camper Donations/Scholar.</t>
  </si>
  <si>
    <t>Vanguard Charitable/Rebecca Moffit: $500 donation</t>
  </si>
  <si>
    <t>Spaulding</t>
  </si>
  <si>
    <t>Reynolds</t>
  </si>
  <si>
    <t>21340PM</t>
  </si>
  <si>
    <t>21338PM</t>
  </si>
  <si>
    <t>21341PM</t>
  </si>
  <si>
    <t xml:space="preserve">               Total for 1301_W Misc Camper Donations/Scholar.</t>
  </si>
  <si>
    <t xml:space="preserve">               1400_W Pres. of Genesee Valley Mission</t>
  </si>
  <si>
    <t>21334PM</t>
  </si>
  <si>
    <t>Presbytery of Genesee Valley</t>
  </si>
  <si>
    <t xml:space="preserve">               Total for 1400_W Pres. of Genesee Valley Mission</t>
  </si>
  <si>
    <t xml:space="preserve">               1450_W Pres. of Geneva Churches</t>
  </si>
  <si>
    <t>Camp donation</t>
  </si>
  <si>
    <t xml:space="preserve">               Total for 1450_W Pres. of Geneva Churches</t>
  </si>
  <si>
    <t>02/01/2024</t>
  </si>
  <si>
    <t>rje178</t>
  </si>
  <si>
    <t>to reclass deposit</t>
  </si>
  <si>
    <t>02/16/2024</t>
  </si>
  <si>
    <t>rje188</t>
  </si>
  <si>
    <t>1/29/24 - 2/11/2024  ck date 2/16/24  pass on 1 day accrual</t>
  </si>
  <si>
    <t>rje189</t>
  </si>
  <si>
    <t>2/12/24 - 2/25/24 ck date 3/1/2024</t>
  </si>
  <si>
    <t xml:space="preserve">            2120_W Workers Comp_Camp</t>
  </si>
  <si>
    <t>02/15/2024</t>
  </si>
  <si>
    <t>Guide One Insurance</t>
  </si>
  <si>
    <t>workers comp 75% camp</t>
  </si>
  <si>
    <t>02/21/2024</t>
  </si>
  <si>
    <t>Third Presbyterian Church</t>
  </si>
  <si>
    <t>Invoice for 40% of Anthony Loreti’s Salary
Pay Period: 121823-123123</t>
  </si>
  <si>
    <t>rje195</t>
  </si>
  <si>
    <t>refund on Tony Loret salary</t>
  </si>
  <si>
    <t>02/02/2024</t>
  </si>
  <si>
    <t>02/12/2024</t>
  </si>
  <si>
    <t>rje185</t>
  </si>
  <si>
    <t>to tie out to bank fees</t>
  </si>
  <si>
    <t>Moultrie Mobile</t>
  </si>
  <si>
    <t>02/05/2024</t>
  </si>
  <si>
    <t xml:space="preserve">            2232_W Staff Expenses</t>
  </si>
  <si>
    <t xml:space="preserve">               2235_W Mileage/Meals for Staff</t>
  </si>
  <si>
    <t>Aladdin's Natural Eatery</t>
  </si>
  <si>
    <t>01/24/2024</t>
  </si>
  <si>
    <t>Village Bakery</t>
  </si>
  <si>
    <t>01/25/2024</t>
  </si>
  <si>
    <t>Spot Coffee</t>
  </si>
  <si>
    <t xml:space="preserve">               Total for 2235_W Mileage/Meals for Staff</t>
  </si>
  <si>
    <t xml:space="preserve">               2237_W Mileage</t>
  </si>
  <si>
    <t>Bryan T. Muecke</t>
  </si>
  <si>
    <t>Mileage/travel reimb</t>
  </si>
  <si>
    <t xml:space="preserve">               Total for 2237_W Mileage</t>
  </si>
  <si>
    <t xml:space="preserve">            Total for 2232_W Staff Expenses</t>
  </si>
  <si>
    <t xml:space="preserve">            2251_W Office Expenses/Support</t>
  </si>
  <si>
    <t xml:space="preserve">               2252_W Office Supplies</t>
  </si>
  <si>
    <t>Amazon</t>
  </si>
  <si>
    <t xml:space="preserve">               Total for 2252_W Office Supplies</t>
  </si>
  <si>
    <t xml:space="preserve">            2270_W Camp Store</t>
  </si>
  <si>
    <t xml:space="preserve">            Total for 2270_W Camp Store</t>
  </si>
  <si>
    <t xml:space="preserve">            2290_W Marketing &amp; Advertising</t>
  </si>
  <si>
    <t>JFM Publishing</t>
  </si>
  <si>
    <t xml:space="preserve">            Total for 2290_W Marketing &amp; Advertising</t>
  </si>
  <si>
    <t xml:space="preserve">            2150_W Insurance</t>
  </si>
  <si>
    <t xml:space="preserve">               2154_W Vehicle</t>
  </si>
  <si>
    <t>Commercial Auto</t>
  </si>
  <si>
    <t xml:space="preserve">               Total for 2154_W Vehicle</t>
  </si>
  <si>
    <t xml:space="preserve">               2155_W Property/Liability/Accident</t>
  </si>
  <si>
    <t>Umbrella 75% Camp</t>
  </si>
  <si>
    <t>75% Commercial Policy</t>
  </si>
  <si>
    <t xml:space="preserve">               Total for 2155_W Property/Liability/Accident</t>
  </si>
  <si>
    <t xml:space="preserve">            Total for 2150_W Insurance</t>
  </si>
  <si>
    <t>02/06/2024</t>
  </si>
  <si>
    <t>Sales Source International</t>
  </si>
  <si>
    <t xml:space="preserve">            2900 General Maintenance</t>
  </si>
  <si>
    <t xml:space="preserve">               2950_W Refuse Removal Fees</t>
  </si>
  <si>
    <t>Cardinal Disposal</t>
  </si>
  <si>
    <t xml:space="preserve">               Total for 2950_W Refuse Removal Fees</t>
  </si>
  <si>
    <t xml:space="preserve">            Total for 2900 General Maintenance</t>
  </si>
  <si>
    <t xml:space="preserve">   Other Expense</t>
  </si>
  <si>
    <t xml:space="preserve">      8000 DEDICATED EXPENSES</t>
  </si>
  <si>
    <t xml:space="preserve">         8175_D In &amp; Out</t>
  </si>
  <si>
    <t>PC (USA).</t>
  </si>
  <si>
    <t>DR000151 Shipping for disaster kits</t>
  </si>
  <si>
    <t>Jeff Richards</t>
  </si>
  <si>
    <t>Reimb for disaster kits</t>
  </si>
  <si>
    <t xml:space="preserve">         Total for 8175_D In &amp; Out</t>
  </si>
  <si>
    <t xml:space="preserve">      Total for 8000 DEDICATED EXPENSES</t>
  </si>
  <si>
    <t xml:space="preserve">   Total for Other Expense</t>
  </si>
  <si>
    <t>rje181R</t>
  </si>
  <si>
    <t>rje196</t>
  </si>
  <si>
    <t xml:space="preserve">            6500_M Mission Priority of Presbytery</t>
  </si>
  <si>
    <t xml:space="preserve">               6511_M Committee on Ministry</t>
  </si>
  <si>
    <t>Transunion</t>
  </si>
  <si>
    <t>02/23/2024</t>
  </si>
  <si>
    <t>H. Leigh Holder</t>
  </si>
  <si>
    <t xml:space="preserve">               Total for 6511_M Committee on Ministry</t>
  </si>
  <si>
    <t xml:space="preserve">            Total for 6500_M Mission Priority of Presbytery</t>
  </si>
  <si>
    <t xml:space="preserve">               4404_O Other - including Synod</t>
  </si>
  <si>
    <t>rje192</t>
  </si>
  <si>
    <t>CORP PAY THE SYNOD OF THE CCD 24/02/05</t>
  </si>
  <si>
    <t xml:space="preserve">               Total for 4404_O Other - including Synod</t>
  </si>
  <si>
    <t>rje190</t>
  </si>
  <si>
    <t xml:space="preserve">                  6056_O Board of Pensions/Medical</t>
  </si>
  <si>
    <t>Board of Pensions</t>
  </si>
  <si>
    <t>Marji Jan and Feb 2024</t>
  </si>
  <si>
    <t xml:space="preserve">                  Total for 6056_O Board of Pensions/Medical</t>
  </si>
  <si>
    <t xml:space="preserve">                  6057_O Study Leave</t>
  </si>
  <si>
    <t>TFSX</t>
  </si>
  <si>
    <t xml:space="preserve">                  Total for 6057_O Study Leave</t>
  </si>
  <si>
    <t xml:space="preserve">                  6154_O Presby Leader Formation Course</t>
  </si>
  <si>
    <t>Leader Care Formation</t>
  </si>
  <si>
    <t>Pby portion of MA Leader Care Formation</t>
  </si>
  <si>
    <t xml:space="preserve">                  Total for 6154_O Presby Leader Formation Course</t>
  </si>
  <si>
    <t xml:space="preserve">               6250_O Worker's Comp</t>
  </si>
  <si>
    <t>workers comp 25% ops</t>
  </si>
  <si>
    <t xml:space="preserve">               Total for 6250_O Worker's Comp</t>
  </si>
  <si>
    <t>02/03/2024</t>
  </si>
  <si>
    <t xml:space="preserve">               6640_O Postage/PO Box</t>
  </si>
  <si>
    <t>01/11/2024</t>
  </si>
  <si>
    <t>Wegmans Food Markets Inc.</t>
  </si>
  <si>
    <t xml:space="preserve">               Total for 6640_O Postage/PO Box</t>
  </si>
  <si>
    <t xml:space="preserve">               6670_O Office Supplies &amp; Hospitality</t>
  </si>
  <si>
    <t>HP Instant Ink</t>
  </si>
  <si>
    <t>Ink supplies</t>
  </si>
  <si>
    <t>Corning First Presbyterian Church</t>
  </si>
  <si>
    <t>102623 Lunch - LifeLines workshop reimb</t>
  </si>
  <si>
    <t xml:space="preserve">               Total for 6670_O Office Supplies &amp; Hospitality</t>
  </si>
  <si>
    <t xml:space="preserve">               6720_O Insurance-Office</t>
  </si>
  <si>
    <t>installment fee 100% operations</t>
  </si>
  <si>
    <t>25% Commercial Policy</t>
  </si>
  <si>
    <t>Umbrella 25% Ops</t>
  </si>
  <si>
    <t xml:space="preserve">               Total for 6720_O Insurance-Office</t>
  </si>
  <si>
    <t>1st qtr 2024</t>
  </si>
  <si>
    <t>Capital Campaign</t>
  </si>
  <si>
    <t>BELLONA - Memorial Prsby Church of Bellona</t>
  </si>
  <si>
    <t>PALMYRA Western</t>
  </si>
  <si>
    <t xml:space="preserve">         1600_W Misc. Other Income/Grants/Interest</t>
  </si>
  <si>
    <t xml:space="preserve">               6058_M Travel/Business - Mission</t>
  </si>
  <si>
    <t xml:space="preserve">               6058_O Travel/Business</t>
  </si>
  <si>
    <t xml:space="preserve">        1660_W  Other income - Grants </t>
  </si>
  <si>
    <t xml:space="preserve">   Investment Income Activity</t>
  </si>
  <si>
    <t xml:space="preserve">      1501_W New Covenant - Gains/(Losses)</t>
  </si>
  <si>
    <t xml:space="preserve">      4520_0 Investment Gains /losses New Covenent</t>
  </si>
  <si>
    <t xml:space="preserve">      4545_O Interest/Dividends-Investments</t>
  </si>
  <si>
    <t xml:space="preserve">   Total Investment Income Activity</t>
  </si>
  <si>
    <t>Activity 2024</t>
  </si>
  <si>
    <t xml:space="preserve">            15600 Vehicles &amp; Boats</t>
  </si>
  <si>
    <t>03/27/2024</t>
  </si>
  <si>
    <t>21349PM</t>
  </si>
  <si>
    <t>Christine Warnick</t>
  </si>
  <si>
    <t>21350PM</t>
  </si>
  <si>
    <t>NYSARC, Broome-Tioga</t>
  </si>
  <si>
    <t>21348PM</t>
  </si>
  <si>
    <t>Robertson, Andrea</t>
  </si>
  <si>
    <t>03/08/2024</t>
  </si>
  <si>
    <t>21332PM</t>
  </si>
  <si>
    <t>TBD</t>
  </si>
  <si>
    <t>from geneva Churc</t>
  </si>
  <si>
    <t>21344PM</t>
  </si>
  <si>
    <t>Webster  Presbyterian Church</t>
  </si>
  <si>
    <t>21343PM</t>
  </si>
  <si>
    <t>First Presbyterian Society of Pittsford</t>
  </si>
  <si>
    <t>21345PM</t>
  </si>
  <si>
    <t>21346PM</t>
  </si>
  <si>
    <t>21342PM</t>
  </si>
  <si>
    <t>Genesee Valley Presbytery</t>
  </si>
  <si>
    <t>03/01/2024</t>
  </si>
  <si>
    <t>rje186</t>
  </si>
  <si>
    <t xml:space="preserve">            1600_W Misc. Other Income/Grants/Interest</t>
  </si>
  <si>
    <t>21347PM</t>
  </si>
  <si>
    <t>Larson's Farm Chritable Fund</t>
  </si>
  <si>
    <t>grant</t>
  </si>
  <si>
    <t xml:space="preserve">            Total for 1600_W Misc. Other Income/Grants/Interest</t>
  </si>
  <si>
    <t>03/31/2024</t>
  </si>
  <si>
    <t>12-8</t>
  </si>
  <si>
    <t>TBD by Alena</t>
  </si>
  <si>
    <t>TBD by Alena   this was a credit possible a refund</t>
  </si>
  <si>
    <t>TBD by Alena   forte</t>
  </si>
  <si>
    <t>03/15/2024</t>
  </si>
  <si>
    <t>12-5</t>
  </si>
  <si>
    <t>2/26/2024 - 3/10/24  ck date  3/15/24  pass on accrual</t>
  </si>
  <si>
    <t>03/29/2024</t>
  </si>
  <si>
    <t>12-6</t>
  </si>
  <si>
    <t>3/11/24 - 3/24/24  ck date 3/29/24</t>
  </si>
  <si>
    <t>03/28/2024</t>
  </si>
  <si>
    <t>031524Invoice</t>
  </si>
  <si>
    <t>Invoice for 40% of Anthony Loreti’s Salary
Pay Period: 01????-???????</t>
  </si>
  <si>
    <t>???CB does not recall entering this. showing a camp charge from the GP checking.</t>
  </si>
  <si>
    <t>03/12/2024</t>
  </si>
  <si>
    <t>Anthony Loreti</t>
  </si>
  <si>
    <t>021824-030624 Mileage</t>
  </si>
  <si>
    <t>03/19/2024</t>
  </si>
  <si>
    <t>011524-012824 A.Loreti</t>
  </si>
  <si>
    <t>012924-021124 A. Loreti</t>
  </si>
  <si>
    <t>021224-022524 A. Loreti</t>
  </si>
  <si>
    <t>02/27/2024</t>
  </si>
  <si>
    <t>SUNY Oswego</t>
  </si>
  <si>
    <t>03/30/2024</t>
  </si>
  <si>
    <t>12-2</t>
  </si>
  <si>
    <t>03/22/2024</t>
  </si>
  <si>
    <t>Norton's</t>
  </si>
  <si>
    <t>Squarespace</t>
  </si>
  <si>
    <t>03/04/2024</t>
  </si>
  <si>
    <t xml:space="preserve">               2254_W Staff Travel</t>
  </si>
  <si>
    <t>021124-021224 Mileage reimb</t>
  </si>
  <si>
    <t xml:space="preserve">               Total for 2254_W Staff Travel</t>
  </si>
  <si>
    <t>03/02/2024</t>
  </si>
  <si>
    <t>Walmart</t>
  </si>
  <si>
    <t xml:space="preserve">               2255_W Postage</t>
  </si>
  <si>
    <t>USPS</t>
  </si>
  <si>
    <t xml:space="preserve">               Total for 2255_W Postage</t>
  </si>
  <si>
    <t xml:space="preserve">            2750_W Permits/Memberships</t>
  </si>
  <si>
    <t>Costco Membership</t>
  </si>
  <si>
    <t xml:space="preserve">            Total for 2750_W Permits/Memberships</t>
  </si>
  <si>
    <t>02/24/2024</t>
  </si>
  <si>
    <t>CCSI</t>
  </si>
  <si>
    <t xml:space="preserve">               2320_W Electric</t>
  </si>
  <si>
    <t>NYSEG</t>
  </si>
  <si>
    <t>Account#10017606384</t>
  </si>
  <si>
    <t>03/13/2024</t>
  </si>
  <si>
    <t>Account#1005-203-5770</t>
  </si>
  <si>
    <t xml:space="preserve">               Total for 2320_W Electric</t>
  </si>
  <si>
    <t>Net Ordinary Income</t>
  </si>
  <si>
    <t xml:space="preserve">      Investment Income Activity</t>
  </si>
  <si>
    <t xml:space="preserve">         1501_W New Covenant - Gains/(Losses)</t>
  </si>
  <si>
    <t>12-16</t>
  </si>
  <si>
    <t>New Covenant 1st Quater 2024</t>
  </si>
  <si>
    <t>12-14</t>
  </si>
  <si>
    <t xml:space="preserve">         Total for 1501_W New Covenant - Gains/(Losses)</t>
  </si>
  <si>
    <t xml:space="preserve">         4545_O Interest/Dividends-Investments</t>
  </si>
  <si>
    <t xml:space="preserve">         Total for 4545_O Interest/Dividends-Investments</t>
  </si>
  <si>
    <t xml:space="preserve">      Total for Investment Income Activity</t>
  </si>
  <si>
    <t>Memorial Presbyterian Church of Bellona</t>
  </si>
  <si>
    <t>rje196R</t>
  </si>
  <si>
    <t>12-12</t>
  </si>
  <si>
    <t>02/18/2024</t>
  </si>
  <si>
    <t>Expedia</t>
  </si>
  <si>
    <t>02/19/2024</t>
  </si>
  <si>
    <t>American Airlines</t>
  </si>
  <si>
    <t>Delta Airlines</t>
  </si>
  <si>
    <t xml:space="preserve">                  6058_M Travel/Business - Mission</t>
  </si>
  <si>
    <t>Marjorie A. Ackerman</t>
  </si>
  <si>
    <t>012824-022524 Mileage</t>
  </si>
  <si>
    <t xml:space="preserve">                  Total for 6058_M Travel/Business - Mission</t>
  </si>
  <si>
    <t xml:space="preserve">                  6058_O Travel/Business</t>
  </si>
  <si>
    <t>Nenos Mexican Gourmet Restaurant</t>
  </si>
  <si>
    <t>Siam Elephants</t>
  </si>
  <si>
    <t xml:space="preserve">                  Total for 6058_O Travel/Business</t>
  </si>
  <si>
    <t>Feb 2024 Telephone Exp</t>
  </si>
  <si>
    <t>03/07/2024</t>
  </si>
  <si>
    <t>Zoom</t>
  </si>
  <si>
    <t>Feb 2024 Home Office Exp Reimb</t>
  </si>
  <si>
    <t>Jan &amp; Feb Home Office Exp</t>
  </si>
  <si>
    <t>03/25/2024</t>
  </si>
  <si>
    <t>Mar 2024 Home Office Exp Reimb</t>
  </si>
  <si>
    <t>Quarterly 2023 Per Capita</t>
  </si>
  <si>
    <t xml:space="preserve">               6750_O Legal Expenses</t>
  </si>
  <si>
    <t>02/08/2024</t>
  </si>
  <si>
    <t>Steinbrenner Law Office, LLC</t>
  </si>
  <si>
    <t>Onseyawa Agreement - 1.7 Hours*</t>
  </si>
  <si>
    <t>Inv 240211 - Camp Whitman lease w/Camp Onseyawa</t>
  </si>
  <si>
    <t xml:space="preserve">               Total for 6750_O Legal Expenses</t>
  </si>
  <si>
    <t>Feb 2024 Bookkeeping svcs</t>
  </si>
  <si>
    <t xml:space="preserve">         4520_0 Investment Gains /losses New Covenent</t>
  </si>
  <si>
    <t>12-15</t>
  </si>
  <si>
    <t>New Covenant 1st Quater 2023</t>
  </si>
  <si>
    <t xml:space="preserve">         Total for 4520_0 Investment Gains /losses New Covenent</t>
  </si>
  <si>
    <t>The Mankind Project</t>
  </si>
  <si>
    <t>AR Other</t>
  </si>
  <si>
    <t>Hammondsport Camp Scholarship</t>
  </si>
  <si>
    <t xml:space="preserve">            6046_O Payroll Taxes - Finance</t>
  </si>
  <si>
    <t xml:space="preserve">      7111_D Camp _ TR</t>
  </si>
  <si>
    <t xml:space="preserve">         7003_D Capital Campaign</t>
  </si>
  <si>
    <t xml:space="preserve">      Total 7111_D Camp _ TR</t>
  </si>
  <si>
    <t>YE 2023 23 (MC)</t>
  </si>
  <si>
    <t>YE 2023 26 (MC)</t>
  </si>
  <si>
    <t>YE 2023 25 (MC)</t>
  </si>
  <si>
    <t>YE 2023 27 (MC)</t>
  </si>
  <si>
    <t>03/18/2024</t>
  </si>
  <si>
    <t>YE 2023 30 (MC)</t>
  </si>
  <si>
    <t>refunds</t>
  </si>
  <si>
    <t>YE 2023 29 (MC)</t>
  </si>
  <si>
    <t>YE 2023 31 (MC)</t>
  </si>
  <si>
    <t>YE 2023 33 (MC)</t>
  </si>
  <si>
    <t>YE 2023 34 (MC)</t>
  </si>
  <si>
    <t>04/01/2024</t>
  </si>
  <si>
    <t>21360PM</t>
  </si>
  <si>
    <t>Schmehl, Rebecca &amp; Philip</t>
  </si>
  <si>
    <t>Charles</t>
  </si>
  <si>
    <t>21359PM</t>
  </si>
  <si>
    <t>schwind, Christine &amp; David</t>
  </si>
  <si>
    <t>04/03/2024</t>
  </si>
  <si>
    <t>21351PM</t>
  </si>
  <si>
    <t>McDuffy, Darnell, Bush, Sara</t>
  </si>
  <si>
    <t>04/04/2024</t>
  </si>
  <si>
    <t>21375PM</t>
  </si>
  <si>
    <t>Bressette, Elizabeth &amp; Fred</t>
  </si>
  <si>
    <t>Matthew</t>
  </si>
  <si>
    <t>04/05/2024</t>
  </si>
  <si>
    <t>YE 2023 19 (MC)</t>
  </si>
  <si>
    <t>TBD a credit on bank statement</t>
  </si>
  <si>
    <t>04/12/2024</t>
  </si>
  <si>
    <t>21367PM</t>
  </si>
  <si>
    <t>Cragle, Michelle</t>
  </si>
  <si>
    <t>Melaney Eagle</t>
  </si>
  <si>
    <t>21366PM</t>
  </si>
  <si>
    <t>Lockwood, Charles</t>
  </si>
  <si>
    <t>04/20/2024</t>
  </si>
  <si>
    <t>21368PM</t>
  </si>
  <si>
    <t>Ken Van Fleet</t>
  </si>
  <si>
    <t>04/23/2024</t>
  </si>
  <si>
    <t>21376PM</t>
  </si>
  <si>
    <t>Schiller, Matthew</t>
  </si>
  <si>
    <t>David</t>
  </si>
  <si>
    <t>04/25/2024</t>
  </si>
  <si>
    <t>Bucklin, Sheree &amp; Joseph</t>
  </si>
  <si>
    <t>refund</t>
  </si>
  <si>
    <t>04/26/2024</t>
  </si>
  <si>
    <t>21370PM</t>
  </si>
  <si>
    <t>Lisa and Michael McClure</t>
  </si>
  <si>
    <t>McClure, Sarah</t>
  </si>
  <si>
    <t>21369PM</t>
  </si>
  <si>
    <t>Newcomb, Stephanie</t>
  </si>
  <si>
    <t>04/28/2024</t>
  </si>
  <si>
    <t>21371PM</t>
  </si>
  <si>
    <t>Read, Kristin</t>
  </si>
  <si>
    <t>Read, Masen</t>
  </si>
  <si>
    <t>21373PM</t>
  </si>
  <si>
    <t>Redder, Jennifer</t>
  </si>
  <si>
    <t>Shellenberger, Shawnna</t>
  </si>
  <si>
    <t>21372PM</t>
  </si>
  <si>
    <t>Ruda, April</t>
  </si>
  <si>
    <t>21374PM</t>
  </si>
  <si>
    <t>Kelly Searles</t>
  </si>
  <si>
    <t xml:space="preserve">            1050_W Rental Group Fees</t>
  </si>
  <si>
    <t>21352PM</t>
  </si>
  <si>
    <t>The Mankind Project USA</t>
  </si>
  <si>
    <t>rental for 2024</t>
  </si>
  <si>
    <t>21353PM</t>
  </si>
  <si>
    <t>event May 2024</t>
  </si>
  <si>
    <t>YE 2023 32 (MC)</t>
  </si>
  <si>
    <t>21377PM</t>
  </si>
  <si>
    <t>Antonelli, Jennifer</t>
  </si>
  <si>
    <t>Loon cottage</t>
  </si>
  <si>
    <t xml:space="preserve">            Total for 1050_W Rental Group Fees</t>
  </si>
  <si>
    <t xml:space="preserve">            1100_W Holiday Weekend Rental Fees</t>
  </si>
  <si>
    <t>04/24/2024</t>
  </si>
  <si>
    <t>21358PM</t>
  </si>
  <si>
    <t>Orr, Susan</t>
  </si>
  <si>
    <t>Loon &amp; Hawk Study Day</t>
  </si>
  <si>
    <t xml:space="preserve">            Total for 1100_W Holiday Weekend Rental Fees</t>
  </si>
  <si>
    <t>YE 2023 24 (MC)</t>
  </si>
  <si>
    <t>YE 2023 28 (MC)</t>
  </si>
  <si>
    <t>04/29/2024</t>
  </si>
  <si>
    <t>21362PM</t>
  </si>
  <si>
    <t>Mustard Seed Ministries</t>
  </si>
  <si>
    <t>21361PM</t>
  </si>
  <si>
    <t>Bliss, Carol</t>
  </si>
  <si>
    <t>Pay to: Camp Onseyawa in memory
of Charlene Fairman. 28921670280</t>
  </si>
  <si>
    <t>21363PM</t>
  </si>
  <si>
    <t>Perinton Presbyterian Church</t>
  </si>
  <si>
    <t>21365PM</t>
  </si>
  <si>
    <t>Thomas, Linda</t>
  </si>
  <si>
    <t>21364PM</t>
  </si>
  <si>
    <t>12-3</t>
  </si>
  <si>
    <t>YE 2023 13 (MC)</t>
  </si>
  <si>
    <t>3/25/2024 - 4/07/2024 ck date 4/17/2024</t>
  </si>
  <si>
    <t>04/17/2024</t>
  </si>
  <si>
    <t>YE 2023 12 (MC)</t>
  </si>
  <si>
    <t>YE 2023 13 (MC)R</t>
  </si>
  <si>
    <t>YE 2023 14 (MC)</t>
  </si>
  <si>
    <t>4/8/2024  -  2/21/24 - ck date 4/26/2024</t>
  </si>
  <si>
    <t>Invoice for 40% of Anthony Loreti’s Salary
Pay Period: 022624-031024</t>
  </si>
  <si>
    <t>Invoice for 40% of Anthony Loreti’s Salary
Pay Period: 031124-032424</t>
  </si>
  <si>
    <t>04/30/2024</t>
  </si>
  <si>
    <t>Invoice for 40% of Anthony Loreti’s Salary
Pay Period: 032524-040724</t>
  </si>
  <si>
    <t>Invoice for 40% of Anthony Loreti’s Salary
Pay Period: 040824-042124</t>
  </si>
  <si>
    <t>YE 2023 6 (MC)</t>
  </si>
  <si>
    <t>YE 2023 10 (MC)</t>
  </si>
  <si>
    <t>vnco fees</t>
  </si>
  <si>
    <t>YE 2023 11 (MC)</t>
  </si>
  <si>
    <t>vanco fees</t>
  </si>
  <si>
    <t>04/10/2024</t>
  </si>
  <si>
    <t>03/23/2024</t>
  </si>
  <si>
    <t>041824 Mileage reimb</t>
  </si>
  <si>
    <t>04/06/2024</t>
  </si>
  <si>
    <t xml:space="preserve">            2256_W Professional Developement</t>
  </si>
  <si>
    <t>Experonlinetraining.org</t>
  </si>
  <si>
    <t>YMCA Camp Cory</t>
  </si>
  <si>
    <t>The Presbytery of WNY</t>
  </si>
  <si>
    <t xml:space="preserve">            Total for 2256_W Professional Developement</t>
  </si>
  <si>
    <t>04/02/2024</t>
  </si>
  <si>
    <t>75% of loss control bonus</t>
  </si>
  <si>
    <t>NYSYS Wireless, LLC</t>
  </si>
  <si>
    <t>Broadband</t>
  </si>
  <si>
    <t xml:space="preserve">               2910_W Small Equipment Repair</t>
  </si>
  <si>
    <t>04/16/2024</t>
  </si>
  <si>
    <t>Twin Pines Power Equipment</t>
  </si>
  <si>
    <t>Lawn tractor repair</t>
  </si>
  <si>
    <t xml:space="preserve">               Total for 2910_W Small Equipment Repair</t>
  </si>
  <si>
    <t xml:space="preserve">               2970_W General Supplies</t>
  </si>
  <si>
    <t>Camp Onseyawa</t>
  </si>
  <si>
    <t>CW portion of stone for road repair</t>
  </si>
  <si>
    <t xml:space="preserve">               Total for 2970_W General Supplies</t>
  </si>
  <si>
    <t xml:space="preserve">               2980_W Water System Supplies &amp; Repairs</t>
  </si>
  <si>
    <t>2404-102624</t>
  </si>
  <si>
    <t>Knapp &amp; Schlappi Lumber Co., Inc.</t>
  </si>
  <si>
    <t>Penn Yan Plumbing &amp; Heating</t>
  </si>
  <si>
    <t>04/09/2024</t>
  </si>
  <si>
    <t xml:space="preserve">               Total for 2980_W Water System Supplies &amp; Repairs</t>
  </si>
  <si>
    <t xml:space="preserve">         7111_D Camp _ TR</t>
  </si>
  <si>
    <t xml:space="preserve">            7003_D Capital Campaign</t>
  </si>
  <si>
    <t>01/20/2024</t>
  </si>
  <si>
    <t>21357PM</t>
  </si>
  <si>
    <t>Brownwell, Carlton</t>
  </si>
  <si>
    <t>02/20/2024</t>
  </si>
  <si>
    <t>21356PM</t>
  </si>
  <si>
    <t>03/20/2024</t>
  </si>
  <si>
    <t>21355PM</t>
  </si>
  <si>
    <t>21354PM</t>
  </si>
  <si>
    <t xml:space="preserve">            Total for 7003_D Capital Campaign</t>
  </si>
  <si>
    <t xml:space="preserve">         Total for 7111_D Camp _ TR</t>
  </si>
  <si>
    <t>PCUSA Store</t>
  </si>
  <si>
    <t>Planning calendars ordered from churches</t>
  </si>
  <si>
    <t>12-12R</t>
  </si>
  <si>
    <t>YE 2023 22 (MC)</t>
  </si>
  <si>
    <t>Community Bank</t>
  </si>
  <si>
    <t>04/08/2024</t>
  </si>
  <si>
    <t>Marjie</t>
  </si>
  <si>
    <t>PCUSA OGA</t>
  </si>
  <si>
    <t>Registration for General Assembly</t>
  </si>
  <si>
    <t>04/22/2024</t>
  </si>
  <si>
    <t>YE 2023 17 (MC)</t>
  </si>
  <si>
    <t>payroll taxes tbd</t>
  </si>
  <si>
    <t xml:space="preserve">               6046_O Payroll Taxes - Finance</t>
  </si>
  <si>
    <t xml:space="preserve">               Total for 6046_O Payroll Taxes - Finance</t>
  </si>
  <si>
    <t xml:space="preserve">               6795_O Staff Travel</t>
  </si>
  <si>
    <t>Cheryl L. Battaglia</t>
  </si>
  <si>
    <t>Q1 2023 Mileage</t>
  </si>
  <si>
    <t xml:space="preserve">               Total for 6795_O Staff Travel</t>
  </si>
  <si>
    <t>Shipping charges for planning calendars</t>
  </si>
  <si>
    <t>03/26/24 USPS - send Amy Loving Austin minister membership cards</t>
  </si>
  <si>
    <t>03/26/2024</t>
  </si>
  <si>
    <t>Q1 2024 Home Office Reimb</t>
  </si>
  <si>
    <t>Apr 2024 Home Office Exp Reimb</t>
  </si>
  <si>
    <t>25% of loss control bonus</t>
  </si>
  <si>
    <t>Mar 2024 Bookkeeping</t>
  </si>
  <si>
    <t>Apr 2024 Bookkeeping</t>
  </si>
  <si>
    <t>2023  Final</t>
  </si>
  <si>
    <t xml:space="preserve">            6022_O Per Diem</t>
  </si>
  <si>
    <t xml:space="preserve">      7226_W Camp Whitman Scholarships</t>
  </si>
  <si>
    <t>.</t>
  </si>
  <si>
    <t>05/01/2024</t>
  </si>
  <si>
    <t>21392PM</t>
  </si>
  <si>
    <t>Thompson, Eric</t>
  </si>
  <si>
    <t>21391PM</t>
  </si>
  <si>
    <t>Hammond, Janelle</t>
  </si>
  <si>
    <t>05/05/2024</t>
  </si>
  <si>
    <t>21393PM</t>
  </si>
  <si>
    <t>Miller, Danielle</t>
  </si>
  <si>
    <t>05/06/2024</t>
  </si>
  <si>
    <t>21394PM</t>
  </si>
  <si>
    <t>Wager, Jill</t>
  </si>
  <si>
    <t>05/12/2024</t>
  </si>
  <si>
    <t>21407PM</t>
  </si>
  <si>
    <t>Vanetten, Alan</t>
  </si>
  <si>
    <t>paid the fees</t>
  </si>
  <si>
    <t>05/13/2024</t>
  </si>
  <si>
    <t>21401PM</t>
  </si>
  <si>
    <t>Makinster, Christy</t>
  </si>
  <si>
    <t>21403PM</t>
  </si>
  <si>
    <t>Obrien,Pam</t>
  </si>
  <si>
    <t>21402PM</t>
  </si>
  <si>
    <t>21400PM</t>
  </si>
  <si>
    <t>Gleason, Laurie &amp; Robert</t>
  </si>
  <si>
    <t>21405PM</t>
  </si>
  <si>
    <t>21404PM</t>
  </si>
  <si>
    <t>21406PM</t>
  </si>
  <si>
    <t>05/21/2024</t>
  </si>
  <si>
    <t>21396PM</t>
  </si>
  <si>
    <t>Barris, Stephanie</t>
  </si>
  <si>
    <t>21397PM</t>
  </si>
  <si>
    <t>Disanto, Jean</t>
  </si>
  <si>
    <t>21398PM</t>
  </si>
  <si>
    <t>Tucker, Diane</t>
  </si>
  <si>
    <t>21395PM</t>
  </si>
  <si>
    <t>Grindle, Kim</t>
  </si>
  <si>
    <t>21399PM</t>
  </si>
  <si>
    <t>Wright, Annette</t>
  </si>
  <si>
    <t>05/28/2024</t>
  </si>
  <si>
    <t>21412PM</t>
  </si>
  <si>
    <t>Lord, Jodi</t>
  </si>
  <si>
    <t>21415PM</t>
  </si>
  <si>
    <t>Levine, Marlene</t>
  </si>
  <si>
    <t>21409PM</t>
  </si>
  <si>
    <t>Happ, Grant</t>
  </si>
  <si>
    <t>21410PM</t>
  </si>
  <si>
    <t>Austin, Kate &amp; Richard</t>
  </si>
  <si>
    <t>21413PM</t>
  </si>
  <si>
    <t>Downing, Amy &amp; Stephen</t>
  </si>
  <si>
    <t>21411PM</t>
  </si>
  <si>
    <t>Pantano, Jan &amp; Joseph</t>
  </si>
  <si>
    <t>21408PM</t>
  </si>
  <si>
    <t>Eichensehr, Karen &amp; Ernest</t>
  </si>
  <si>
    <t>21414PM</t>
  </si>
  <si>
    <t>Hoad, Heather &amp; Matt</t>
  </si>
  <si>
    <t>21418PM</t>
  </si>
  <si>
    <t>Borkowski, Kate &amp; Ben</t>
  </si>
  <si>
    <t>21417PM</t>
  </si>
  <si>
    <t>Durfey, Joan &amp; Aarib</t>
  </si>
  <si>
    <t>21378PM</t>
  </si>
  <si>
    <t>Susan Orr   days</t>
  </si>
  <si>
    <t>05/23/2024</t>
  </si>
  <si>
    <t>21379PM</t>
  </si>
  <si>
    <t>Orr</t>
  </si>
  <si>
    <t>21384PM</t>
  </si>
  <si>
    <t>Clark, Susan</t>
  </si>
  <si>
    <t>21386PM</t>
  </si>
  <si>
    <t>Phillips, Gregory</t>
  </si>
  <si>
    <t>21388PM</t>
  </si>
  <si>
    <t>Schule, J. Federick &amp; Anne</t>
  </si>
  <si>
    <t>21389PM</t>
  </si>
  <si>
    <t>Smith, Shirely</t>
  </si>
  <si>
    <t>21385PM</t>
  </si>
  <si>
    <t>Day, Ernest</t>
  </si>
  <si>
    <t>21387PM</t>
  </si>
  <si>
    <t>Schoen, Edward</t>
  </si>
  <si>
    <t>21390PM</t>
  </si>
  <si>
    <t>Tomes, Zelma</t>
  </si>
  <si>
    <t>05/14/2024</t>
  </si>
  <si>
    <t>21383PM</t>
  </si>
  <si>
    <t>Presbyterian Women</t>
  </si>
  <si>
    <t>21382PM</t>
  </si>
  <si>
    <t>Jeffrey Richards.</t>
  </si>
  <si>
    <t>21380PM</t>
  </si>
  <si>
    <t>John DeHority</t>
  </si>
  <si>
    <t>21381PM</t>
  </si>
  <si>
    <t>YE 2023 8 (MC)</t>
  </si>
  <si>
    <t>YE 2023 7 (MC)</t>
  </si>
  <si>
    <t>to reclass to correct account</t>
  </si>
  <si>
    <t>YE 2023 61 (MC) (H)</t>
  </si>
  <si>
    <t>interest Jan 2024</t>
  </si>
  <si>
    <t>YE 2023 62 (MC) (H)</t>
  </si>
  <si>
    <t>feb interest</t>
  </si>
  <si>
    <t>YE 2023 63 (MC) (H)</t>
  </si>
  <si>
    <t>March camp savings</t>
  </si>
  <si>
    <t>YE 2023 58 (MC) (H)</t>
  </si>
  <si>
    <t>05/10/2024</t>
  </si>
  <si>
    <t>YE 2023 52 (MC) (H)</t>
  </si>
  <si>
    <t>4/22/24 - 5/5/2024  ck 5/10/24</t>
  </si>
  <si>
    <t>05/24/2024</t>
  </si>
  <si>
    <t>YE 2023 55 (MC) (H)</t>
  </si>
  <si>
    <t>5/06/2024 - 5/19/24  ck 5/24/24</t>
  </si>
  <si>
    <t>05/31/2024</t>
  </si>
  <si>
    <t>YE 2023 54 (MC) (H)</t>
  </si>
  <si>
    <t>5/20/24 - 6/2/2024  ck date 6/7/2023</t>
  </si>
  <si>
    <t xml:space="preserve">            2110_W Counselors</t>
  </si>
  <si>
    <t>YE 2023 50 (MC) (H)</t>
  </si>
  <si>
    <t>05/03/2024</t>
  </si>
  <si>
    <t>YE 2023 59 (MC) (H)</t>
  </si>
  <si>
    <t>Credit TBD</t>
  </si>
  <si>
    <t>Lowes Business Account</t>
  </si>
  <si>
    <t>to update fees</t>
  </si>
  <si>
    <t>Microsoft Store</t>
  </si>
  <si>
    <t>04/11/2024</t>
  </si>
  <si>
    <t>04/27/2024</t>
  </si>
  <si>
    <t>Microsoft</t>
  </si>
  <si>
    <t xml:space="preserve">            2280_W Program Equipment</t>
  </si>
  <si>
    <t>The Adventure Network, Inc.</t>
  </si>
  <si>
    <t xml:space="preserve">            Total for 2280_W Program Equipment</t>
  </si>
  <si>
    <t>Safelite</t>
  </si>
  <si>
    <t>04/15/2024</t>
  </si>
  <si>
    <t>Verizon - Camp</t>
  </si>
  <si>
    <t>3oz super lube</t>
  </si>
  <si>
    <t>Brownwell gift  december</t>
  </si>
  <si>
    <t xml:space="preserve">         7226_W Camp Whitman Scholarships</t>
  </si>
  <si>
    <t>YE 2023 56 (MC) (H)</t>
  </si>
  <si>
    <t xml:space="preserve">         Total for 7226_W Camp Whitman Scholarships</t>
  </si>
  <si>
    <t>YE 2023 22 (MC)R</t>
  </si>
  <si>
    <t>YE 2023 64 (MC) (H)</t>
  </si>
  <si>
    <t xml:space="preserve">            5200_M Mission &amp; Witness (inc. grants)</t>
  </si>
  <si>
    <t>Ryan White</t>
  </si>
  <si>
    <t xml:space="preserve">            Total for 5200_M Mission &amp; Witness (inc. grants)</t>
  </si>
  <si>
    <t>Marji April and May 2024</t>
  </si>
  <si>
    <t>05/04/2024</t>
  </si>
  <si>
    <t>My TSFX</t>
  </si>
  <si>
    <t>030124-042824 Mileage</t>
  </si>
  <si>
    <t xml:space="preserve">               6022_O Per Diem</t>
  </si>
  <si>
    <t>Amy Loving Austin.</t>
  </si>
  <si>
    <t>Jan-Apr Records work</t>
  </si>
  <si>
    <t xml:space="preserve">               Total for 6022_O Per Diem</t>
  </si>
  <si>
    <t xml:space="preserve">               6027_O Travel/Business</t>
  </si>
  <si>
    <t>Jan-Apr Mileage</t>
  </si>
  <si>
    <t>Lunch mtg w/Vitality members</t>
  </si>
  <si>
    <t xml:space="preserve">               Total for 6027_O Travel/Business</t>
  </si>
  <si>
    <t>Apr 2024 Telephone Exp</t>
  </si>
  <si>
    <t>05/02/2024</t>
  </si>
  <si>
    <t>05/08/2024</t>
  </si>
  <si>
    <t>Mar &amp; Apr Home Office Exp</t>
  </si>
  <si>
    <t>Jan-Apr 2024 Home Office Reimb</t>
  </si>
  <si>
    <t xml:space="preserve">               6900 Professional Fees</t>
  </si>
  <si>
    <t xml:space="preserve">                  6910_O Auditor Contract</t>
  </si>
  <si>
    <t>Heveron &amp; Company CPAs, LLC</t>
  </si>
  <si>
    <t>2023 audit - Initial billing</t>
  </si>
  <si>
    <t xml:space="preserve">                  Total for 6910_O Auditor Contract</t>
  </si>
  <si>
    <t xml:space="preserve">               Total for 6900 Professional Fees</t>
  </si>
  <si>
    <t xml:space="preserve">            4210_O Synod Support Grant</t>
  </si>
  <si>
    <t xml:space="preserve">       2080_W Off Season Maintenance Workers</t>
  </si>
  <si>
    <t xml:space="preserve">         2081_W Housekeeper/Maint Assist</t>
  </si>
  <si>
    <t xml:space="preserve">        2119_W Pathfinder Counselor</t>
  </si>
  <si>
    <t xml:space="preserve">           2663_W Life Insurance</t>
  </si>
  <si>
    <t xml:space="preserve">     4210_O  Synod Support Grant</t>
  </si>
  <si>
    <t xml:space="preserve">            4404_O Other Including Synod</t>
  </si>
  <si>
    <t>06/07/2024</t>
  </si>
  <si>
    <t>Jimerson, Carol</t>
  </si>
  <si>
    <t>21422PM</t>
  </si>
  <si>
    <t>Van Etten, Isaac</t>
  </si>
  <si>
    <t>21423PM</t>
  </si>
  <si>
    <t>06/13/2024</t>
  </si>
  <si>
    <t>21425PM</t>
  </si>
  <si>
    <t>Empson, Amber</t>
  </si>
  <si>
    <t>06/16/2024</t>
  </si>
  <si>
    <t>21424PM</t>
  </si>
  <si>
    <t>Podagrosi, Theresa &amp; Richard</t>
  </si>
  <si>
    <t>06/18/2024</t>
  </si>
  <si>
    <t>06/25/2024</t>
  </si>
  <si>
    <t>06/26/2024</t>
  </si>
  <si>
    <t>71 (MC)</t>
  </si>
  <si>
    <t>to record refund Zackery Kelley</t>
  </si>
  <si>
    <t>06/30/2024</t>
  </si>
  <si>
    <t>72 (MC)</t>
  </si>
  <si>
    <t>deposit 6/20</t>
  </si>
  <si>
    <t>deposit 617</t>
  </si>
  <si>
    <t>deposit 6/24</t>
  </si>
  <si>
    <t>21421PM</t>
  </si>
  <si>
    <t>Empower Camp</t>
  </si>
  <si>
    <t>Lima Presbyterian Church</t>
  </si>
  <si>
    <t xml:space="preserve">               1350_W Pres. of Genesee Local Church</t>
  </si>
  <si>
    <t xml:space="preserve">               Total for 1350_W Pres. of Genesee Local Church</t>
  </si>
  <si>
    <t>06/01/2024</t>
  </si>
  <si>
    <t>YE 2023 51 (MC) (H)</t>
  </si>
  <si>
    <t>deposit 6/6   HipCamp</t>
  </si>
  <si>
    <t>deposit 6/4/2024</t>
  </si>
  <si>
    <t>deposit 6/20  Hip  camp</t>
  </si>
  <si>
    <t>deposit 6/3/2024</t>
  </si>
  <si>
    <t>deposit 6/12  Hip  camp</t>
  </si>
  <si>
    <t>deposit 6/27</t>
  </si>
  <si>
    <t xml:space="preserve">         2000.20 Camp Summer/Winter Salaries</t>
  </si>
  <si>
    <t>06/21/2024</t>
  </si>
  <si>
    <t>68 (MC) (H)</t>
  </si>
  <si>
    <t>6/3/2024 - 6/16/2024  ck date 6/21/2024</t>
  </si>
  <si>
    <t xml:space="preserve">            2010_W Aquatic Director</t>
  </si>
  <si>
    <t xml:space="preserve">            2015_W Office Assistant/Operations Coordinator</t>
  </si>
  <si>
    <t xml:space="preserve">            2032_W Nurse</t>
  </si>
  <si>
    <t xml:space="preserve">            2040_W Cook</t>
  </si>
  <si>
    <t xml:space="preserve">            2060_W Kitchen Staff</t>
  </si>
  <si>
    <t>YE 2023 70 (MC) (H)</t>
  </si>
  <si>
    <t>6/17/24 - 6/30/24  ck date 7/5/2024</t>
  </si>
  <si>
    <t xml:space="preserve">            2080_W Off Season Maintenance Workers</t>
  </si>
  <si>
    <t xml:space="preserve">            2081 Maintenance Assistant</t>
  </si>
  <si>
    <t>YE 2023 54 (MC) (H)R</t>
  </si>
  <si>
    <t>YE 2023 53 (MC) (H)</t>
  </si>
  <si>
    <t xml:space="preserve">            2119_W Pathfinder Counselor</t>
  </si>
  <si>
    <t xml:space="preserve">               2663 Life Insurance</t>
  </si>
  <si>
    <t>06/06/2024</t>
  </si>
  <si>
    <t>06/03/2024</t>
  </si>
  <si>
    <t>Invoice for 40% of Anthony Loreti’s Salary
Pay Period: 050624-051924</t>
  </si>
  <si>
    <t>Invoice for 40% of Anthony Loreti’s Salary
Pay Period: 042224-050524</t>
  </si>
  <si>
    <t>YE 2023 66 (MC) (H)</t>
  </si>
  <si>
    <t>06/02/2024</t>
  </si>
  <si>
    <t>21420PM</t>
  </si>
  <si>
    <t>06/11/2024</t>
  </si>
  <si>
    <t>Alena O. Ragan</t>
  </si>
  <si>
    <t>011924041824 Mileage Reimb</t>
  </si>
  <si>
    <t xml:space="preserve">            2700_W Kitchen</t>
  </si>
  <si>
    <t xml:space="preserve">               2710_W Food</t>
  </si>
  <si>
    <t>051024Aldi: Volunteer Day Lunch</t>
  </si>
  <si>
    <t xml:space="preserve">               Total for 2710_W Food</t>
  </si>
  <si>
    <t xml:space="preserve">               2720_W Kitchen &amp; Cleaning Supplies</t>
  </si>
  <si>
    <t>Sanico, Inc.</t>
  </si>
  <si>
    <t>Inv#H084060</t>
  </si>
  <si>
    <t xml:space="preserve">               Total for 2720_W Kitchen &amp; Cleaning Supplies</t>
  </si>
  <si>
    <t xml:space="preserve">               2731_W Kitchen Supplies/Equipment</t>
  </si>
  <si>
    <t>Rochester Store Fixture</t>
  </si>
  <si>
    <t>L21EKS Lamber Dishwasher, high temp, upright type,
(30) racks/hour, 6kw booster element, detergent pump,
rinse aid dispenser, gravity drain, electronic control,
digital thermometer, (2) 20" x 20" baskets for dishes,
(1) general basket, (2) cutlery baskets, stainless steel,
208-240v/60/1-ph, 28 amps, 6.65kW, UL, cULus</t>
  </si>
  <si>
    <t xml:space="preserve">               Total for 2731_W Kitchen Supplies/Equipment</t>
  </si>
  <si>
    <t xml:space="preserve">            Total for 2700_W Kitchen</t>
  </si>
  <si>
    <t xml:space="preserve">               2330_W Propane Gas</t>
  </si>
  <si>
    <t>Phelps Sungas, Inc.</t>
  </si>
  <si>
    <t>Inv 19925223</t>
  </si>
  <si>
    <t xml:space="preserve">               Total for 2330_W Propane Gas</t>
  </si>
  <si>
    <t xml:space="preserve">            2800_W Vehicle Maintenance</t>
  </si>
  <si>
    <t xml:space="preserve">               2810_W Cars &amp; Trucks</t>
  </si>
  <si>
    <t>Pine Ridge Tire and Automotive</t>
  </si>
  <si>
    <t>Inv 13681</t>
  </si>
  <si>
    <t xml:space="preserve">               Total for 2810_W Cars &amp; Trucks</t>
  </si>
  <si>
    <t xml:space="preserve">            Total for 2800_W Vehicle Maintenance</t>
  </si>
  <si>
    <t>Inv 76904</t>
  </si>
  <si>
    <t>73 (MC)</t>
  </si>
  <si>
    <t>credit not entered</t>
  </si>
  <si>
    <t xml:space="preserve">               2990_W Lumber &amp; Building Supplies</t>
  </si>
  <si>
    <t xml:space="preserve">               Total for 2990_W Lumber &amp; Building Supplies</t>
  </si>
  <si>
    <t>75 (MC)</t>
  </si>
  <si>
    <t>77 (MC)</t>
  </si>
  <si>
    <t xml:space="preserve">         1665_W Interest/Dividends - Investments</t>
  </si>
  <si>
    <t>YE 2023 64 (MC) (H)R</t>
  </si>
  <si>
    <t>74 (MC)</t>
  </si>
  <si>
    <t>06/12/2024</t>
  </si>
  <si>
    <t>The Potter's Hands Foundation</t>
  </si>
  <si>
    <t>Canandaigua Churches in Action</t>
  </si>
  <si>
    <t>First Presbyterian Church of Bath Deacons Fund</t>
  </si>
  <si>
    <t>Corning Community Food Pantry</t>
  </si>
  <si>
    <t>Called to Care, Canandaigua</t>
  </si>
  <si>
    <t>Chemung County Habitat for Humanity</t>
  </si>
  <si>
    <t>Neighbor to Neighbor Fund</t>
  </si>
  <si>
    <t xml:space="preserve">               4210_O Synod Support Grant</t>
  </si>
  <si>
    <t>06/24/2024</t>
  </si>
  <si>
    <t>21419PM</t>
  </si>
  <si>
    <t>Synod of the Northeast (C)</t>
  </si>
  <si>
    <t>underwrite Marji salary</t>
  </si>
  <si>
    <t xml:space="preserve">               Total for 4210_O Synod Support Grant</t>
  </si>
  <si>
    <t>Marji June 2024</t>
  </si>
  <si>
    <t>Q2 2023 Mileage</t>
  </si>
  <si>
    <t>06/10/2024</t>
  </si>
  <si>
    <t>May 2024 Telephone Exp</t>
  </si>
  <si>
    <t>06/04/2024</t>
  </si>
  <si>
    <t>Enterprise Rent A Car</t>
  </si>
  <si>
    <t>Microsoft 365 Apps Edition (Leader-LT) [10460] 120.00</t>
  </si>
  <si>
    <t>May 2024 Home Office Exp Reimb</t>
  </si>
  <si>
    <t>Q2 2024 Home Office Reimb</t>
  </si>
  <si>
    <t>Jun 2024 Home Office Exp Reimb</t>
  </si>
  <si>
    <t>May 2024 Bookkeeping svcs</t>
  </si>
  <si>
    <t>Inv 15141 Interim billing 2023 audit</t>
  </si>
  <si>
    <t>76 (MC)</t>
  </si>
  <si>
    <t>Payroll reconciliation for Camp</t>
  </si>
  <si>
    <t>Payroll Date</t>
  </si>
  <si>
    <t>Check Date</t>
  </si>
  <si>
    <t>Net Pay ops</t>
  </si>
  <si>
    <t>Taxes Ops</t>
  </si>
  <si>
    <t>Deductions</t>
  </si>
  <si>
    <t>Net Pay Camp</t>
  </si>
  <si>
    <t>Manual checks</t>
  </si>
  <si>
    <t>Taxes Camp</t>
  </si>
  <si>
    <t>deduction</t>
  </si>
  <si>
    <t>Camp Liabilities</t>
  </si>
  <si>
    <t>Total Liabilities and bank transfers</t>
  </si>
  <si>
    <t>1/1/2024 - 1/14/2024</t>
  </si>
  <si>
    <t>Proof Bank Net Pay W/D</t>
  </si>
  <si>
    <t>Proof Bank Tax W/D</t>
  </si>
  <si>
    <t>1/15/2024 - 1/28/24</t>
  </si>
  <si>
    <t>Garnishment - Camp</t>
  </si>
  <si>
    <t>1/29/24 - 2/11/2024</t>
  </si>
  <si>
    <t>2/12/2024 - 2/25/2024</t>
  </si>
  <si>
    <t>2/25/2024 - 3/10/2024</t>
  </si>
  <si>
    <t>3/11/24 - 3/24/2024</t>
  </si>
  <si>
    <t>3/25/24 - 4/7/2024</t>
  </si>
  <si>
    <t>4/8/2024 - 4/21/2024</t>
  </si>
  <si>
    <t>4/22/2024 - 5/5/2024</t>
  </si>
  <si>
    <t>5/6/2024 - 5/19/2024</t>
  </si>
  <si>
    <t>5/20/24 - 6/2/2024</t>
  </si>
  <si>
    <t>6/3/2024 - 6/16/2023</t>
  </si>
  <si>
    <t>6/17/2024 - 6/30/2024</t>
  </si>
  <si>
    <t>7/1/2024 - 7/14/2024</t>
  </si>
  <si>
    <t>7/15/2024 - 7/28/2004</t>
  </si>
  <si>
    <t>Per</t>
  </si>
  <si>
    <t>Transfer from Camp Savings</t>
  </si>
  <si>
    <t>David Ashby</t>
  </si>
  <si>
    <t>to Operations Checking</t>
  </si>
  <si>
    <t xml:space="preserve">      2000.00 Camp Payrolls</t>
  </si>
  <si>
    <t xml:space="preserve">            2336_W Nurse - Night</t>
  </si>
  <si>
    <t xml:space="preserve">            2795_W Kitchen Manager</t>
  </si>
  <si>
    <t xml:space="preserve">         Total 2000.20 Camp Summer/Winter Salaries</t>
  </si>
  <si>
    <t xml:space="preserve">            Total 2603_W Camp Director</t>
  </si>
  <si>
    <t xml:space="preserve">            Total 2604_W Camp Property Manager</t>
  </si>
  <si>
    <t xml:space="preserve">         Total 2113_W Year Round Staff Salaries</t>
  </si>
  <si>
    <t xml:space="preserve">         Total 2117_W Camp Payroll Other</t>
  </si>
  <si>
    <t xml:space="preserve">      Total 2000.00 Camp Payrolls</t>
  </si>
  <si>
    <t xml:space="preserve">         2778_W Uncatorgorized Camp Expenses</t>
  </si>
  <si>
    <t xml:space="preserve">      7101_D Church</t>
  </si>
  <si>
    <t xml:space="preserve">         7126 Hammondsport Mission Reserve</t>
  </si>
  <si>
    <t xml:space="preserve">      Total 7101_D Church</t>
  </si>
  <si>
    <t xml:space="preserve">        2336_W Nurse - Night</t>
  </si>
  <si>
    <t xml:space="preserve">        2795_W Kitchen Manager</t>
  </si>
  <si>
    <t>Income YTD - New Covenent - Camp</t>
  </si>
  <si>
    <t xml:space="preserve">           6857_O  Disaster Kits</t>
  </si>
  <si>
    <t xml:space="preserve">            6857_O Disaster Kits</t>
  </si>
  <si>
    <t xml:space="preserve">            3440.21 TR - Operations/Missions</t>
  </si>
  <si>
    <t xml:space="preserve">            3440.25 TR - Camp</t>
  </si>
  <si>
    <t xml:space="preserve">         Total 3440.15 TR - Purpose Restrictions</t>
  </si>
  <si>
    <t>06/15/2024</t>
  </si>
  <si>
    <t>21430PM</t>
  </si>
  <si>
    <t>Sorenson, Carrianne</t>
  </si>
  <si>
    <t>Marcus Cornell</t>
  </si>
  <si>
    <t>07/02/2024</t>
  </si>
  <si>
    <t>07/05/2024</t>
  </si>
  <si>
    <t>Wilson, Laurie</t>
  </si>
  <si>
    <t>07/08/2024</t>
  </si>
  <si>
    <t>Sarah Ford</t>
  </si>
  <si>
    <t>07/09/2024</t>
  </si>
  <si>
    <t>Lonie, Cheryl</t>
  </si>
  <si>
    <t>07/12/2024</t>
  </si>
  <si>
    <t>07/15/2024</t>
  </si>
  <si>
    <t>Timothy Carpenter</t>
  </si>
  <si>
    <t>21429PM</t>
  </si>
  <si>
    <t>Daley Lisa</t>
  </si>
  <si>
    <t>Steve Crane</t>
  </si>
  <si>
    <t>shwanna</t>
  </si>
  <si>
    <t>Alex Manard</t>
  </si>
  <si>
    <t>07/16/2024</t>
  </si>
  <si>
    <t>Ballow, John &amp; Anita</t>
  </si>
  <si>
    <t>Lynette Hameister</t>
  </si>
  <si>
    <t>07/18/2024</t>
  </si>
  <si>
    <t>Miranda Shorter</t>
  </si>
  <si>
    <t>07/22/2024</t>
  </si>
  <si>
    <t>07/23/2024</t>
  </si>
  <si>
    <t>Jaycie Harris</t>
  </si>
  <si>
    <t>07/30/2024</t>
  </si>
  <si>
    <t>Janet Morris</t>
  </si>
  <si>
    <t>80 (MC)</t>
  </si>
  <si>
    <t>Katherine C</t>
  </si>
  <si>
    <t>Emily H</t>
  </si>
  <si>
    <t>Vicki M</t>
  </si>
  <si>
    <t>Barbara F</t>
  </si>
  <si>
    <t>21432PM</t>
  </si>
  <si>
    <t>The Next Generation and You</t>
  </si>
  <si>
    <t>for Jessica Clarkson</t>
  </si>
  <si>
    <t>07/27/2024</t>
  </si>
  <si>
    <t>21431PM</t>
  </si>
  <si>
    <t>Laura Lutz</t>
  </si>
  <si>
    <t>07/01/2024</t>
  </si>
  <si>
    <t>donation</t>
  </si>
  <si>
    <t>YE 2023 67 (MC) (H)</t>
  </si>
  <si>
    <t>to tie out deposit</t>
  </si>
  <si>
    <t>deposit 6/3/2024  I believe this was a transaction made by BM</t>
  </si>
  <si>
    <t>deposit 6/4   Forte   TBD</t>
  </si>
  <si>
    <t>07/31/2024</t>
  </si>
  <si>
    <t xml:space="preserve">            1662_W Camp Store</t>
  </si>
  <si>
    <t>deposit 6/24   cash</t>
  </si>
  <si>
    <t>deposit 6/24  douglas Schwarts</t>
  </si>
  <si>
    <t>Camp Store</t>
  </si>
  <si>
    <t>07/29/2024</t>
  </si>
  <si>
    <t xml:space="preserve">            Total for 1662_W Camp Store</t>
  </si>
  <si>
    <t>07/03/2024</t>
  </si>
  <si>
    <t>forte</t>
  </si>
  <si>
    <t xml:space="preserve">         2000.00 Camp Payrolls</t>
  </si>
  <si>
    <t xml:space="preserve">            2000.20 Camp Summer/Winter Salaries</t>
  </si>
  <si>
    <t xml:space="preserve">               Total for 2000.20 Camp Summer/Winter Salaries</t>
  </si>
  <si>
    <t xml:space="preserve">               2010_W Aquatic Director</t>
  </si>
  <si>
    <t xml:space="preserve">               Total for 2010_W Aquatic Director</t>
  </si>
  <si>
    <t xml:space="preserve">               2015_W Office Assistant/Operations Coordinator</t>
  </si>
  <si>
    <t xml:space="preserve">               Total for 2015_W Office Assistant/Operations Coordinator</t>
  </si>
  <si>
    <t xml:space="preserve">               2032_W Nurse</t>
  </si>
  <si>
    <t>85 (MC)</t>
  </si>
  <si>
    <t xml:space="preserve">               Total for 2032_W Nurse</t>
  </si>
  <si>
    <t xml:space="preserve">               2040_W Cook</t>
  </si>
  <si>
    <t xml:space="preserve">               Total for 2040_W Cook</t>
  </si>
  <si>
    <t xml:space="preserve">               2060_W Kitchen Staff</t>
  </si>
  <si>
    <t>YE 2023 69 (MC) (H)</t>
  </si>
  <si>
    <t>YE 2023 70 (MC) (H)R</t>
  </si>
  <si>
    <t>07/19/2024</t>
  </si>
  <si>
    <t>79 (MC)</t>
  </si>
  <si>
    <t>7/1/2024 - 7/14/2024  Ck date 7/19/24</t>
  </si>
  <si>
    <t xml:space="preserve">               Total for 2060_W Kitchen Staff</t>
  </si>
  <si>
    <t xml:space="preserve">               2080_W Off Season Maintenance Workers</t>
  </si>
  <si>
    <t xml:space="preserve">               Total for 2080_W Off Season Maintenance Workers</t>
  </si>
  <si>
    <t xml:space="preserve">               2081 Maintenance Assistant</t>
  </si>
  <si>
    <t xml:space="preserve">               Total for 2081 Maintenance Assistant</t>
  </si>
  <si>
    <t xml:space="preserve">               2110_W Counselors</t>
  </si>
  <si>
    <t xml:space="preserve">               Total for 2110_W Counselors</t>
  </si>
  <si>
    <t xml:space="preserve">               2119_W Pathfinder Counselor</t>
  </si>
  <si>
    <t xml:space="preserve">               Total for 2119_W Pathfinder Counselor</t>
  </si>
  <si>
    <t xml:space="preserve">               2336_W Nurse - Night</t>
  </si>
  <si>
    <t xml:space="preserve">               Total for 2336_W Nurse - Night</t>
  </si>
  <si>
    <t xml:space="preserve">               2795_W Kitchen Manager</t>
  </si>
  <si>
    <t xml:space="preserve">               Total for 2795_W Kitchen Manager</t>
  </si>
  <si>
    <t xml:space="preserve">            Total for 2000.20 Camp Summer/Winter Salaries with sub-accounts</t>
  </si>
  <si>
    <t xml:space="preserve">            2113_W Year Round Staff Salaries</t>
  </si>
  <si>
    <t xml:space="preserve">               2214_W Camp - Registration Coordinator</t>
  </si>
  <si>
    <t xml:space="preserve">               Total for 2214_W Camp - Registration Coordinator</t>
  </si>
  <si>
    <t xml:space="preserve">               2603_W Camp Director</t>
  </si>
  <si>
    <t xml:space="preserve">                  2661_W Cash Salary</t>
  </si>
  <si>
    <t xml:space="preserve">                  Total for 2661_W Cash Salary</t>
  </si>
  <si>
    <t xml:space="preserve">                  2662_W Major Medical</t>
  </si>
  <si>
    <t xml:space="preserve">                  Total for 2662_W Major Medical</t>
  </si>
  <si>
    <t xml:space="preserve">                  2663 Life Insurance</t>
  </si>
  <si>
    <t xml:space="preserve">                  Total for 2663 Life Insurance</t>
  </si>
  <si>
    <t xml:space="preserve">               2604_W Camp Property Manager</t>
  </si>
  <si>
    <t xml:space="preserve">                  2665_W Cash Salary</t>
  </si>
  <si>
    <t xml:space="preserve">                  Total for 2665_W Cash Salary</t>
  </si>
  <si>
    <t xml:space="preserve">               Total for 2604_W Camp Property Manager</t>
  </si>
  <si>
    <t xml:space="preserve">            Total for 2113_W Year Round Staff Salaries</t>
  </si>
  <si>
    <t xml:space="preserve">            2117_W Camp Payroll Other</t>
  </si>
  <si>
    <t xml:space="preserve">               2120_W Workers Comp_Camp</t>
  </si>
  <si>
    <t xml:space="preserve">               Total for 2120_W Workers Comp_Camp</t>
  </si>
  <si>
    <t xml:space="preserve">               2125_W Payroll Taxes - Camp</t>
  </si>
  <si>
    <t xml:space="preserve">               Total for 2125_W Payroll Taxes - Camp</t>
  </si>
  <si>
    <t>06/20/2024</t>
  </si>
  <si>
    <t>Invoice for 40% of Anthony Loreti’s Salary
Pay Period: 052024-060224</t>
  </si>
  <si>
    <t>Invoice for 40% of Anthony Loreti’s Salary
Pay Period: 060324-061624</t>
  </si>
  <si>
    <t xml:space="preserve">               2127_W Recruitement</t>
  </si>
  <si>
    <t xml:space="preserve">               Total for 2127_W Recruitement</t>
  </si>
  <si>
    <t xml:space="preserve">               2128_W Payroll Service Fees</t>
  </si>
  <si>
    <t>81 (MC)</t>
  </si>
  <si>
    <t xml:space="preserve">               Total for 2128_W Payroll Service Fees</t>
  </si>
  <si>
    <t xml:space="preserve">               2129_W NYS DBL</t>
  </si>
  <si>
    <t>ShelterPoint Life</t>
  </si>
  <si>
    <t>65% for Camp   7/1/23 - 6/30/24</t>
  </si>
  <si>
    <t xml:space="preserve">               Total for 2129_W NYS DBL</t>
  </si>
  <si>
    <t xml:space="preserve">            Total for 2117_W Camp Payroll Other</t>
  </si>
  <si>
    <t xml:space="preserve">         Total for 2000.00 Camp Payrolls</t>
  </si>
  <si>
    <t>cash equiv fee</t>
  </si>
  <si>
    <t>07/06/2024</t>
  </si>
  <si>
    <t>interest</t>
  </si>
  <si>
    <t>07/10/2024</t>
  </si>
  <si>
    <t>87 (MC)</t>
  </si>
  <si>
    <t>to reclass to fees</t>
  </si>
  <si>
    <t>07/04/2024</t>
  </si>
  <si>
    <t>Aldi</t>
  </si>
  <si>
    <t xml:space="preserve">            2230_W General Program Expenses</t>
  </si>
  <si>
    <t>062624 Bedding for int'l staff</t>
  </si>
  <si>
    <t xml:space="preserve">            Total for 2230_W General Program Expenses</t>
  </si>
  <si>
    <t>062724 staff trip to Letchworth</t>
  </si>
  <si>
    <t>050724-061124 Mileage Reimb</t>
  </si>
  <si>
    <t>062624 printer ink cartridges</t>
  </si>
  <si>
    <t>060324 Lifeguard Course</t>
  </si>
  <si>
    <t xml:space="preserve">            2265_W Staff Training</t>
  </si>
  <si>
    <t>062224 American Camp Assoc Training Curriculum</t>
  </si>
  <si>
    <t>PMSC</t>
  </si>
  <si>
    <t>062824-062924 Lifeguard instruction with Waterfront Certification + CPR for professional rescuer</t>
  </si>
  <si>
    <t xml:space="preserve">            Total for 2265_W Staff Training</t>
  </si>
  <si>
    <t>MJCORP</t>
  </si>
  <si>
    <t>Inv 11945</t>
  </si>
  <si>
    <t>Inv 119447 - 72 T-shirts</t>
  </si>
  <si>
    <t xml:space="preserve">            2271_W Staff T Shirts</t>
  </si>
  <si>
    <t>07/11/2024</t>
  </si>
  <si>
    <t>Alyse Switzer</t>
  </si>
  <si>
    <t>160 T-shirts</t>
  </si>
  <si>
    <t xml:space="preserve">            Total for 2271_W Staff T Shirts</t>
  </si>
  <si>
    <t>Aldi's</t>
  </si>
  <si>
    <t>062324 Food for staff training</t>
  </si>
  <si>
    <t>062624 food</t>
  </si>
  <si>
    <t>062224 Food</t>
  </si>
  <si>
    <t>062424 food</t>
  </si>
  <si>
    <t>C&amp;R Food Service</t>
  </si>
  <si>
    <t>#968251 CM</t>
  </si>
  <si>
    <t>#688554 CM</t>
  </si>
  <si>
    <t>#688652</t>
  </si>
  <si>
    <t>#689424</t>
  </si>
  <si>
    <t>#689904</t>
  </si>
  <si>
    <t>#688554</t>
  </si>
  <si>
    <t>Brown &amp; Brown Insurance</t>
  </si>
  <si>
    <t>Policy #LHM858126 06/01/2024-06/01/2025 Malpractice Insurance</t>
  </si>
  <si>
    <t>Inv 20803174</t>
  </si>
  <si>
    <t xml:space="preserve">            2778_W Uncatorgorized Camp Expenses</t>
  </si>
  <si>
    <t>04/14/2024</t>
  </si>
  <si>
    <t>Amazon(v)</t>
  </si>
  <si>
    <t>Amazon Mar* Cleaning</t>
  </si>
  <si>
    <t>Weaver's Compact Tract</t>
  </si>
  <si>
    <t>05/17/2024</t>
  </si>
  <si>
    <t>Credit Card Credit</t>
  </si>
  <si>
    <t>NYS Department of Transportation</t>
  </si>
  <si>
    <t>Stmt#1641 Signs Type</t>
  </si>
  <si>
    <t xml:space="preserve">            Total for 2778_W Uncatorgorized Camp Expenses</t>
  </si>
  <si>
    <t xml:space="preserve">               2865_W Vehicle Rental</t>
  </si>
  <si>
    <t>Apex</t>
  </si>
  <si>
    <t xml:space="preserve">               Total for 2865_W Vehicle Rental</t>
  </si>
  <si>
    <t>Ironvine Studios, LLC</t>
  </si>
  <si>
    <t>#2024-4 tractor and sink repair</t>
  </si>
  <si>
    <t>77173 Jun</t>
  </si>
  <si>
    <t>Inv#77389</t>
  </si>
  <si>
    <t xml:space="preserve">               2960_W Fire Extinguishers</t>
  </si>
  <si>
    <t>Kevin Wilson</t>
  </si>
  <si>
    <t xml:space="preserve">               Total for 2960_W Fire Extinguishers</t>
  </si>
  <si>
    <t>05/09/2024</t>
  </si>
  <si>
    <t>90 (MC)</t>
  </si>
  <si>
    <t>to tie out cc</t>
  </si>
  <si>
    <t>05/16/2024</t>
  </si>
  <si>
    <t>Seneca View Greenhouse &amp; Farm Market</t>
  </si>
  <si>
    <t>Himrod Farm Supply</t>
  </si>
  <si>
    <t>H085767</t>
  </si>
  <si>
    <t>H086075</t>
  </si>
  <si>
    <t>H085477</t>
  </si>
  <si>
    <t>Ref77406</t>
  </si>
  <si>
    <t>052224 USPS</t>
  </si>
  <si>
    <t>Inv#H085237</t>
  </si>
  <si>
    <t>#313458</t>
  </si>
  <si>
    <t>#316209</t>
  </si>
  <si>
    <t>#316495</t>
  </si>
  <si>
    <t>#317710</t>
  </si>
  <si>
    <t>#321756</t>
  </si>
  <si>
    <t>#317524</t>
  </si>
  <si>
    <t>#317366</t>
  </si>
  <si>
    <t>#316370</t>
  </si>
  <si>
    <t>Harrington</t>
  </si>
  <si>
    <t>LSL</t>
  </si>
  <si>
    <t>Ref77347</t>
  </si>
  <si>
    <t>Inv285055</t>
  </si>
  <si>
    <t xml:space="preserve">         7101_D Church</t>
  </si>
  <si>
    <t xml:space="preserve">            7126 Hammondsport Mission Reserve</t>
  </si>
  <si>
    <t>No restrictions. To be used as needed</t>
  </si>
  <si>
    <t xml:space="preserve">            Total for 7126 Hammondsport Mission Reserve</t>
  </si>
  <si>
    <t xml:space="preserve">         Total for 7101_D Church</t>
  </si>
  <si>
    <t>07/25/2024</t>
  </si>
  <si>
    <t>21427PM</t>
  </si>
  <si>
    <t>07/24/2024</t>
  </si>
  <si>
    <t>91 (MC)</t>
  </si>
  <si>
    <t>to reclass to Ops expenses - there will be no more Sales</t>
  </si>
  <si>
    <t>corrected per Irene</t>
  </si>
  <si>
    <t>74 (MC)R</t>
  </si>
  <si>
    <t>88 (MC)</t>
  </si>
  <si>
    <t>Marji July 2024</t>
  </si>
  <si>
    <t>Cheesecake Factory</t>
  </si>
  <si>
    <t>Snack</t>
  </si>
  <si>
    <t>Subway</t>
  </si>
  <si>
    <t>Hilton</t>
  </si>
  <si>
    <t>35% for Presbytery  7/1/23 - 6/30/24</t>
  </si>
  <si>
    <t>89 (MC)</t>
  </si>
  <si>
    <t>Elena Delhagen (v)</t>
  </si>
  <si>
    <t>Jun 2024 Telephone Exp</t>
  </si>
  <si>
    <t>Faith in Action Steuben County</t>
  </si>
  <si>
    <t>2024 Grant</t>
  </si>
  <si>
    <t>United Church of Hornell</t>
  </si>
  <si>
    <t>UPC Central Account of Sunday Meals</t>
  </si>
  <si>
    <t>2024 Grant: Emergency Food for Homeless</t>
  </si>
  <si>
    <t xml:space="preserve">               6665_O Website</t>
  </si>
  <si>
    <t>Annual website hosting-expires 07/20/25</t>
  </si>
  <si>
    <t xml:space="preserve">               Total for 6665_O Website</t>
  </si>
  <si>
    <t>05/26/2024</t>
  </si>
  <si>
    <t xml:space="preserve">               6730_O Synod Per Capita</t>
  </si>
  <si>
    <t>The Synod of the Northeast</t>
  </si>
  <si>
    <t>2024 SNE PC paid in full</t>
  </si>
  <si>
    <t xml:space="preserve">               Total for 6730_O Synod Per Capita</t>
  </si>
  <si>
    <t>Jun 2024 Bookkeeping svcs</t>
  </si>
  <si>
    <t xml:space="preserve">               6857_O Disaster Kits</t>
  </si>
  <si>
    <t xml:space="preserve">               Total for 6857_O Disaster Kits</t>
  </si>
  <si>
    <t>final billing</t>
  </si>
  <si>
    <t>07/07/2024</t>
  </si>
  <si>
    <t>21426PM</t>
  </si>
  <si>
    <t>21428PM</t>
  </si>
  <si>
    <t>Presbyterian Peacemaking Program</t>
  </si>
  <si>
    <t>Painted Post Food Pantry</t>
  </si>
  <si>
    <t>First Presbyterian Church of  Prattsburgh</t>
  </si>
  <si>
    <t>First Presbyterian Church of Horseheads</t>
  </si>
  <si>
    <t>Family Promise of Ontario County</t>
  </si>
  <si>
    <t>The Good Neighbor Fund</t>
  </si>
  <si>
    <t>Iglesia Presbiteriana Lares</t>
  </si>
  <si>
    <t>House of John</t>
  </si>
  <si>
    <t>Geneva Reads, Inc.</t>
  </si>
  <si>
    <t>Boys &amp; Girls Club of Geneva</t>
  </si>
  <si>
    <t>Christ the King Fellowship Presbyterian Church</t>
  </si>
  <si>
    <t>Lyons Community Food Cupboard (V)</t>
  </si>
  <si>
    <t>Ithaca Welcomes Refugees</t>
  </si>
  <si>
    <t>Geneva Center of Concern</t>
  </si>
  <si>
    <t>Newark Food Closet</t>
  </si>
  <si>
    <t>Ovid Federated Church.</t>
  </si>
  <si>
    <t>Hector Presbyterian Church</t>
  </si>
  <si>
    <t>Catholic Charities of the Finger Lakes</t>
  </si>
  <si>
    <t>Watkins Glen Presbyterian Church. (V)</t>
  </si>
  <si>
    <t>MLK Scholarship Fund</t>
  </si>
  <si>
    <t>Transfer fromcamp checkin</t>
  </si>
  <si>
    <t xml:space="preserve">               2850.30 Camp Facility Manager  0287</t>
  </si>
  <si>
    <t>August</t>
  </si>
  <si>
    <t>8/4/2024 - 8/10/2024</t>
  </si>
  <si>
    <t xml:space="preserve">8/12/24 - 8/25/24 </t>
  </si>
  <si>
    <t>Not Specified</t>
  </si>
  <si>
    <t xml:space="preserve">            2234_W Nurse - Day</t>
  </si>
  <si>
    <t xml:space="preserve">         2099_W Uncategorized Expense - Camp</t>
  </si>
  <si>
    <t>Listing of Report</t>
  </si>
  <si>
    <t xml:space="preserve">Page </t>
  </si>
  <si>
    <t>Summary Update - compares current year to Prior Yer</t>
  </si>
  <si>
    <t>P&amp;L Budget Mission &amp; Operations</t>
  </si>
  <si>
    <t>Bottom figure ties to Balance Sheet</t>
  </si>
  <si>
    <t>Camp YTD Budget to Actual Report</t>
  </si>
  <si>
    <t>`</t>
  </si>
  <si>
    <t>Class Report</t>
  </si>
  <si>
    <t>P&amp;L split between 4 classes</t>
  </si>
  <si>
    <t>6a &amp; 6b</t>
  </si>
  <si>
    <t>Net assets - details - ties to balance sheet net assets</t>
  </si>
  <si>
    <t>New Covenant</t>
  </si>
  <si>
    <t>details of New covanent ties to the statements</t>
  </si>
  <si>
    <t>AR 2024</t>
  </si>
  <si>
    <t>details on Accounts receivable</t>
  </si>
  <si>
    <t>Camp PR Tracking</t>
  </si>
  <si>
    <t>To track what needs to be transferred from Camp to operations</t>
  </si>
  <si>
    <t xml:space="preserve">Mission </t>
  </si>
  <si>
    <t>Details YTD</t>
  </si>
  <si>
    <t>08/31/2024</t>
  </si>
  <si>
    <t>101 (MC)</t>
  </si>
  <si>
    <t>8/29/2024</t>
  </si>
  <si>
    <t>8/20/2024</t>
  </si>
  <si>
    <t>TBD  8/15/2024</t>
  </si>
  <si>
    <t>TBD   8/5/2024</t>
  </si>
  <si>
    <t>8/7/2024   refunnd</t>
  </si>
  <si>
    <t>08/15/2024</t>
  </si>
  <si>
    <t>99 (MC)</t>
  </si>
  <si>
    <t>hipcamp deposit   437.00</t>
  </si>
  <si>
    <t>hipcamp deposit   Kelly W</t>
  </si>
  <si>
    <t>8/5/2024</t>
  </si>
  <si>
    <t>08/01/2024</t>
  </si>
  <si>
    <t>82 (MC)</t>
  </si>
  <si>
    <t>tbd - to tie out</t>
  </si>
  <si>
    <t>08/12/2024</t>
  </si>
  <si>
    <t>08/02/2024</t>
  </si>
  <si>
    <t>85 (MC)R</t>
  </si>
  <si>
    <t>84 (MC)</t>
  </si>
  <si>
    <t>7/15/2024 - 7/28/24 - ck date 8/2/2024</t>
  </si>
  <si>
    <t>08/16/2024</t>
  </si>
  <si>
    <t>93 (MC)</t>
  </si>
  <si>
    <t>8/4/2024 - 8/10/2024  ck date 8/16/2024</t>
  </si>
  <si>
    <t>08/30/2024</t>
  </si>
  <si>
    <t>94 (MC)</t>
  </si>
  <si>
    <t>8/12/24 - 8/25/2024  ck date 8/30/24</t>
  </si>
  <si>
    <t>8/4/2024 - 8/10/2024  ck date 8/16/2024   David T</t>
  </si>
  <si>
    <t xml:space="preserve">               2234_W Nurse - Day</t>
  </si>
  <si>
    <t xml:space="preserve">               Total for 2234_W Nurse - Day</t>
  </si>
  <si>
    <t xml:space="preserve">                  Total for 2603_W Camp Director</t>
  </si>
  <si>
    <t xml:space="preserve">               Total for 2603_W Camp Director with sub-accounts</t>
  </si>
  <si>
    <t>08/28/2024</t>
  </si>
  <si>
    <t>08/13/2024</t>
  </si>
  <si>
    <t>95 (MC)</t>
  </si>
  <si>
    <t>98 (MC)</t>
  </si>
  <si>
    <t>fees   vanco</t>
  </si>
  <si>
    <t>08/09/2024</t>
  </si>
  <si>
    <t>tbd</t>
  </si>
  <si>
    <t>08/07/2024</t>
  </si>
  <si>
    <t>08/08/2024</t>
  </si>
  <si>
    <t xml:space="preserve">            2225_W Arts &amp; Crafts</t>
  </si>
  <si>
    <t xml:space="preserve">            Total for 2225_W Arts &amp; Crafts</t>
  </si>
  <si>
    <t>KOA Waterloo</t>
  </si>
  <si>
    <t>KOA Watkins Glen</t>
  </si>
  <si>
    <t>Rivers Crossing Camp Ground &amp; Marina</t>
  </si>
  <si>
    <t>Bristol Mountain Aerial Adventures</t>
  </si>
  <si>
    <t>Turo, Inc</t>
  </si>
  <si>
    <t>08/06/2024</t>
  </si>
  <si>
    <t>Watkins Glen North</t>
  </si>
  <si>
    <t>Watkins Glen State Park</t>
  </si>
  <si>
    <t>McDonald's</t>
  </si>
  <si>
    <t>Matthew Hageman</t>
  </si>
  <si>
    <t>mileage</t>
  </si>
  <si>
    <t>Mileage</t>
  </si>
  <si>
    <t xml:space="preserve">               2236_W Staff Appreciation</t>
  </si>
  <si>
    <t>08/05/2024</t>
  </si>
  <si>
    <t>Keuka Restaurant</t>
  </si>
  <si>
    <t xml:space="preserve">               Total for 2236_W Staff Appreciation</t>
  </si>
  <si>
    <t>Red Roof</t>
  </si>
  <si>
    <t>06/21/24-06/28/24 Mileage &amp; Letchworth Park Entry Fee</t>
  </si>
  <si>
    <t xml:space="preserve">            2400_W Swimming Pool</t>
  </si>
  <si>
    <t xml:space="preserve">               2410_W Chemicals</t>
  </si>
  <si>
    <t xml:space="preserve">               Total for 2410_W Chemicals</t>
  </si>
  <si>
    <t xml:space="preserve">               2420_W Equipment and Repair</t>
  </si>
  <si>
    <t>07/17/2024</t>
  </si>
  <si>
    <t>2408-181166</t>
  </si>
  <si>
    <t>2408-182852</t>
  </si>
  <si>
    <t xml:space="preserve">               Total for 2420_W Equipment and Repair</t>
  </si>
  <si>
    <t xml:space="preserve">            Total for 2400_W Swimming Pool</t>
  </si>
  <si>
    <t xml:space="preserve">            2500_W Lakefront</t>
  </si>
  <si>
    <t xml:space="preserve">               2510_W Boat Maintenance &amp; Repair</t>
  </si>
  <si>
    <t xml:space="preserve">               Total for 2510_W Boat Maintenance &amp; Repair</t>
  </si>
  <si>
    <t xml:space="preserve">            Total for 2500_W Lakefront</t>
  </si>
  <si>
    <t xml:space="preserve">            2600_W Medical</t>
  </si>
  <si>
    <t xml:space="preserve">               2610_W Medical Supplies &amp; Equipment</t>
  </si>
  <si>
    <t>Walgreens</t>
  </si>
  <si>
    <t xml:space="preserve">               Total for 2610_W Medical Supplies &amp; Equipment</t>
  </si>
  <si>
    <t xml:space="preserve">            Total for 2600_W Medical</t>
  </si>
  <si>
    <t>07/14/2024</t>
  </si>
  <si>
    <t>Tops Market</t>
  </si>
  <si>
    <t>Groceries</t>
  </si>
  <si>
    <t>Inv#H086625</t>
  </si>
  <si>
    <t>H087260</t>
  </si>
  <si>
    <t>Inv#H087912</t>
  </si>
  <si>
    <t xml:space="preserve">               2730_W Equipment &amp; Repair</t>
  </si>
  <si>
    <t>07/13/2024</t>
  </si>
  <si>
    <t xml:space="preserve">               Total for 2730_W Equipment &amp; Repair</t>
  </si>
  <si>
    <t>My Fax Services</t>
  </si>
  <si>
    <t>08/23/2024</t>
  </si>
  <si>
    <t>102 (MC)</t>
  </si>
  <si>
    <t>to record refund</t>
  </si>
  <si>
    <t xml:space="preserve">               2820_W Tractor</t>
  </si>
  <si>
    <t>#317994</t>
  </si>
  <si>
    <t xml:space="preserve">               Total for 2820_W Tractor</t>
  </si>
  <si>
    <t>Inv298466</t>
  </si>
  <si>
    <t xml:space="preserve">               2850_W Fuel</t>
  </si>
  <si>
    <t>Hometowne Energy Co.</t>
  </si>
  <si>
    <t>AC#116435</t>
  </si>
  <si>
    <t xml:space="preserve">               Total for 2850_W Fuel</t>
  </si>
  <si>
    <t>#77559</t>
  </si>
  <si>
    <t>Finger Lake Premier</t>
  </si>
  <si>
    <t>2406-143087</t>
  </si>
  <si>
    <t>#79314</t>
  </si>
  <si>
    <t>#326876</t>
  </si>
  <si>
    <t>#324261</t>
  </si>
  <si>
    <t>#79495</t>
  </si>
  <si>
    <t>Penn Yan Plumbing</t>
  </si>
  <si>
    <t>Inv#80466</t>
  </si>
  <si>
    <t>Inv#80037</t>
  </si>
  <si>
    <t>2408-183609</t>
  </si>
  <si>
    <t>#79750</t>
  </si>
  <si>
    <t>Fingle</t>
  </si>
  <si>
    <t>#10868</t>
  </si>
  <si>
    <t>E.B. Martin Roofing</t>
  </si>
  <si>
    <t>07/20/2024</t>
  </si>
  <si>
    <t>21433PM</t>
  </si>
  <si>
    <t>88 (MC)R</t>
  </si>
  <si>
    <t>100 (MC)</t>
  </si>
  <si>
    <t>07/21/2024</t>
  </si>
  <si>
    <t>Marjorie Ackermann</t>
  </si>
  <si>
    <t>PLF &amp; GA Expenses</t>
  </si>
  <si>
    <t>reclass per Marjie</t>
  </si>
  <si>
    <t>reclass per Marji</t>
  </si>
  <si>
    <t>07/26/2024</t>
  </si>
  <si>
    <t xml:space="preserve">               6770_O GA/Synod Meetings</t>
  </si>
  <si>
    <t>registration</t>
  </si>
  <si>
    <t>reclassed per DA</t>
  </si>
  <si>
    <t xml:space="preserve">               Total for 6770_O GA/Synod Meetings</t>
  </si>
  <si>
    <t>Jul 2024 Bookkeeping svcs</t>
  </si>
  <si>
    <t>Aug 2024 Bookkeeping svcs</t>
  </si>
  <si>
    <t>8/26/2024 - 9/8/2024</t>
  </si>
  <si>
    <t>9/9/2024 - 9/22/24</t>
  </si>
  <si>
    <t>Balance September 2024</t>
  </si>
  <si>
    <t xml:space="preserve">               2663_W Board of Pension</t>
  </si>
  <si>
    <t xml:space="preserve">      7050_D Candidates Grant Fund</t>
  </si>
  <si>
    <t xml:space="preserve">   7777_O Prior Year Adjustment</t>
  </si>
  <si>
    <t xml:space="preserve">        2234_W Nurse Day</t>
  </si>
  <si>
    <t xml:space="preserve">          uncatogorized expenses camp</t>
  </si>
  <si>
    <t xml:space="preserve">            27851 Due to Payroll NYS</t>
  </si>
  <si>
    <t>Hip Camp</t>
  </si>
  <si>
    <t>09/19/2024</t>
  </si>
  <si>
    <t>21434PM</t>
  </si>
  <si>
    <t>Per Alena</t>
  </si>
  <si>
    <t>09/06/2024</t>
  </si>
  <si>
    <t>112 (MC)</t>
  </si>
  <si>
    <t>09/08/2024</t>
  </si>
  <si>
    <t>21441PM</t>
  </si>
  <si>
    <t>Ithaca Monthly Meeting of Religious Society of Friends</t>
  </si>
  <si>
    <t>09/16/2024</t>
  </si>
  <si>
    <t>113 (MC)</t>
  </si>
  <si>
    <t>21436PM</t>
  </si>
  <si>
    <t>The Sacred Feminine Rising</t>
  </si>
  <si>
    <t>21437PM</t>
  </si>
  <si>
    <t>Rotary Camp Onseyawa, Inc.</t>
  </si>
  <si>
    <t>21435PM</t>
  </si>
  <si>
    <t>Peter &amp; Kelly Weishaar</t>
  </si>
  <si>
    <t>09/23/2024</t>
  </si>
  <si>
    <t>21442PM</t>
  </si>
  <si>
    <t>Blue Jay/Jared Mueller</t>
  </si>
  <si>
    <t>09/30/2024</t>
  </si>
  <si>
    <t>115 (MC)</t>
  </si>
  <si>
    <t>Per alena pmt came in October</t>
  </si>
  <si>
    <t>09/03/2024</t>
  </si>
  <si>
    <t>21440PM</t>
  </si>
  <si>
    <t>Fergusson-Lutz, Rebeka</t>
  </si>
  <si>
    <t>09/01/2024</t>
  </si>
  <si>
    <t>96 (MC)</t>
  </si>
  <si>
    <t>21438PM</t>
  </si>
  <si>
    <t>21439PM</t>
  </si>
  <si>
    <t>September</t>
  </si>
  <si>
    <t>09/27/2024</t>
  </si>
  <si>
    <t>104 (MC)</t>
  </si>
  <si>
    <t>9/9/2024 - 9/22/24   ck date   9/27/2024</t>
  </si>
  <si>
    <t>09/11/2024</t>
  </si>
  <si>
    <t>103 (MC)</t>
  </si>
  <si>
    <t>8/26/2024 - 9/8/2024  ck date  9/13/2024</t>
  </si>
  <si>
    <t xml:space="preserve">                  2663_W Board of Pension</t>
  </si>
  <si>
    <t>reimburse Pension</t>
  </si>
  <si>
    <t xml:space="preserve">                  Total for 2663_W Board of Pension</t>
  </si>
  <si>
    <t>09/10/2024</t>
  </si>
  <si>
    <t>Invoice for 40% of Anthony Loreti’s Salary
Pay Period: 070124-071424</t>
  </si>
  <si>
    <t>Invoice for 40% of Anthony Loreti’s Salary
Pay Period: 061724-063024</t>
  </si>
  <si>
    <t>09/13/2024</t>
  </si>
  <si>
    <t>105 (MC)</t>
  </si>
  <si>
    <t>09/09/2024</t>
  </si>
  <si>
    <t>21443PM</t>
  </si>
  <si>
    <t>08/27/2024</t>
  </si>
  <si>
    <t>09/07/2024</t>
  </si>
  <si>
    <t>08/26/2024</t>
  </si>
  <si>
    <t>PayPal</t>
  </si>
  <si>
    <t xml:space="preserve">            Total for 2251_W Office Expenses/Support</t>
  </si>
  <si>
    <t>114 (MC)</t>
  </si>
  <si>
    <t>r</t>
  </si>
  <si>
    <t xml:space="preserve">            2275_W Registration Materials</t>
  </si>
  <si>
    <t>08/11/2024</t>
  </si>
  <si>
    <t>Canva</t>
  </si>
  <si>
    <t xml:space="preserve">            Total for 2275_W Registration Materials</t>
  </si>
  <si>
    <t>2408-169968</t>
  </si>
  <si>
    <t>09/04/2024</t>
  </si>
  <si>
    <t>Inv#H088834</t>
  </si>
  <si>
    <t>Tollsbymail.com</t>
  </si>
  <si>
    <t>080524 Tolls</t>
  </si>
  <si>
    <t>to resend check voided in August</t>
  </si>
  <si>
    <t>08/10/2024</t>
  </si>
  <si>
    <t>Kwik Fill</t>
  </si>
  <si>
    <t>Zimmies Refrigeration</t>
  </si>
  <si>
    <t xml:space="preserve">               2940_W Port a Johns</t>
  </si>
  <si>
    <t>Jason Chester Henderson</t>
  </si>
  <si>
    <t>Inv 485</t>
  </si>
  <si>
    <t xml:space="preserve">               Total for 2940_W Port a Johns</t>
  </si>
  <si>
    <t>?</t>
  </si>
  <si>
    <t>109 (MC)</t>
  </si>
  <si>
    <t>New Covenant 3rd Quater 2024</t>
  </si>
  <si>
    <t>110 (MC)</t>
  </si>
  <si>
    <t xml:space="preserve">         7050_D Candidates Grant Fund</t>
  </si>
  <si>
    <t xml:space="preserve">         Total for 7050_D Candidates Grant Fund</t>
  </si>
  <si>
    <t>100 (MC)R</t>
  </si>
  <si>
    <t>108 (MC)</t>
  </si>
  <si>
    <t>09/02/2024</t>
  </si>
  <si>
    <t>fin al pmt for fall retreat</t>
  </si>
  <si>
    <t>MT.TFSX</t>
  </si>
  <si>
    <t>Scenarios, worldbuilding, and Guiding narratives</t>
  </si>
  <si>
    <t>AC Work</t>
  </si>
  <si>
    <t>GA Exp</t>
  </si>
  <si>
    <t>May-Sep Mileage</t>
  </si>
  <si>
    <t>August Telephone Bill</t>
  </si>
  <si>
    <t>118 (MC)</t>
  </si>
  <si>
    <t>to void duplicate check pmt</t>
  </si>
  <si>
    <t>09/05/2024</t>
  </si>
  <si>
    <t>Dream Tea &amp; Poke</t>
  </si>
  <si>
    <t>Lunch for Joint Prsby discussion</t>
  </si>
  <si>
    <t>May-Sep 2024 Home Office Reimb</t>
  </si>
  <si>
    <t xml:space="preserve">            Total for 6600_O Office Expenses</t>
  </si>
  <si>
    <t>registration/hotel/meals</t>
  </si>
  <si>
    <t xml:space="preserve">      7777_O Prior Year Adjustment</t>
  </si>
  <si>
    <t>117 (MC)</t>
  </si>
  <si>
    <t>to void check from 2023</t>
  </si>
  <si>
    <t xml:space="preserve">      Total for 7777_O Prior Year Adjustment</t>
  </si>
  <si>
    <t>111 (MC)</t>
  </si>
  <si>
    <t xml:space="preserve">               6504_M Leader Care</t>
  </si>
  <si>
    <t xml:space="preserve">               Total for 6504_M Leader Care</t>
  </si>
  <si>
    <t xml:space="preserve">        1700_W Undistributed income </t>
  </si>
  <si>
    <t>Total 2000.00 Camp Payroll</t>
  </si>
  <si>
    <t xml:space="preserve">            2108_W Program Director/Assistant Director</t>
  </si>
  <si>
    <t xml:space="preserve">               2102_W Salary</t>
  </si>
  <si>
    <t xml:space="preserve">            Total 2108_W Program Director/Assistant Director</t>
  </si>
  <si>
    <t xml:space="preserve">            99999_O Uncatergorized Expenses</t>
  </si>
  <si>
    <t xml:space="preserve">            6715_O Dues &amp; Subscriptions</t>
  </si>
  <si>
    <t xml:space="preserve">               6840_O Computer Services</t>
  </si>
  <si>
    <t xml:space="preserve">      7335_D Thailand Scholarship</t>
  </si>
  <si>
    <t xml:space="preserve">      8030_D Two-Cents-A-Meal</t>
  </si>
  <si>
    <t xml:space="preserve">      8171_D Hay Grant</t>
  </si>
  <si>
    <t>7336_D</t>
  </si>
  <si>
    <t>Thailand Scholarship</t>
  </si>
  <si>
    <t xml:space="preserve">               Marjorie Ackermann  6826  2855.20</t>
  </si>
  <si>
    <t xml:space="preserve">               Program Director   7676  2855.10</t>
  </si>
  <si>
    <t xml:space="preserve"> </t>
  </si>
  <si>
    <t>9/23/24 - 10/06/24</t>
  </si>
  <si>
    <t>10/7/2024 - 10/20/24</t>
  </si>
  <si>
    <t>10/11/2024</t>
  </si>
  <si>
    <t>21444PM</t>
  </si>
  <si>
    <t>Bernadette</t>
  </si>
  <si>
    <t>21445PM</t>
  </si>
  <si>
    <t>Jeff B</t>
  </si>
  <si>
    <t>21446PM</t>
  </si>
  <si>
    <t>Danielle</t>
  </si>
  <si>
    <t>10/17/2024</t>
  </si>
  <si>
    <t>21450PM</t>
  </si>
  <si>
    <t>10/24/2024</t>
  </si>
  <si>
    <t>21449PM</t>
  </si>
  <si>
    <t>Hipcamp</t>
  </si>
  <si>
    <t>10/29/2024</t>
  </si>
  <si>
    <t>21447PM</t>
  </si>
  <si>
    <t>Avon First Presbyterian Youth Group</t>
  </si>
  <si>
    <t>10/01/2024</t>
  </si>
  <si>
    <t>106 (MC)</t>
  </si>
  <si>
    <t>10/03/2024</t>
  </si>
  <si>
    <t>129 (MC)</t>
  </si>
  <si>
    <t>10/16/2024</t>
  </si>
  <si>
    <t xml:space="preserve">               2108_W Program Director/Assistant Director</t>
  </si>
  <si>
    <t>10/25/2024</t>
  </si>
  <si>
    <t>123 (MC)</t>
  </si>
  <si>
    <t>10/7/2024 - 10/20/2024 ck date 10/24/2024</t>
  </si>
  <si>
    <t xml:space="preserve">                  2102_W Salary</t>
  </si>
  <si>
    <t>122 (MC)</t>
  </si>
  <si>
    <t>9/23/2024 - 10/06/2024  ck date 10/11/24
accrued 4 days</t>
  </si>
  <si>
    <t>121 (MC)</t>
  </si>
  <si>
    <t>9/23/2024 - 10/06/2024 - ck date 10/11/2024</t>
  </si>
  <si>
    <t>122 (MC)R</t>
  </si>
  <si>
    <t>10/31/2024</t>
  </si>
  <si>
    <t>128 (MC)</t>
  </si>
  <si>
    <t>10/21/24 - 11/03/204  ck date  11/8/2024  accrued 9 days</t>
  </si>
  <si>
    <t xml:space="preserve">                  Total for 2102_W Salary</t>
  </si>
  <si>
    <t>10/15/2024</t>
  </si>
  <si>
    <t>Inv 81224: 100124-103124 Bryan, Defined Benefit Pension Plan</t>
  </si>
  <si>
    <t>Inv 81224: 010124-093024 Bryan, Defined Benefit Pension Plan</t>
  </si>
  <si>
    <t>10/21/2024</t>
  </si>
  <si>
    <t>Invoice for 40% of Anthony Loreti’s Salary
Pay Period: 082624-092224</t>
  </si>
  <si>
    <t>Invoice for 40% of Anthony Loreti’s Salary
Pay Period: 071524-082524</t>
  </si>
  <si>
    <t>10/23/2024</t>
  </si>
  <si>
    <t>CIEE</t>
  </si>
  <si>
    <t>10/10/2024</t>
  </si>
  <si>
    <t>124 (MC)</t>
  </si>
  <si>
    <t>21451PM</t>
  </si>
  <si>
    <t>CAMPBRAIN                TORONTO      ON CAN</t>
  </si>
  <si>
    <t>ADOBE  *ADOBE            XXXXXX6000   CA USA</t>
  </si>
  <si>
    <t>GOOGLE *SVCScampwhitma   650-253-0000 CA USA</t>
  </si>
  <si>
    <t>GOOGLE  GSUITE_campwhi   Mountain ViewCA USA</t>
  </si>
  <si>
    <t>ADOBE  *ADOBE            XXXXXX6000   CA USA  to tie</t>
  </si>
  <si>
    <t>ADOBE  *ADOBE            XXXXXX6000   CA USA  to tie out to tatements</t>
  </si>
  <si>
    <t>071524-082924 Mileage</t>
  </si>
  <si>
    <t>062324-071124 Mileage</t>
  </si>
  <si>
    <t>US Postal Service, CMRS-PB</t>
  </si>
  <si>
    <t>USPS PO XXXXXX0712       BEMUS POINT  NY USA</t>
  </si>
  <si>
    <t>071524 postage</t>
  </si>
  <si>
    <t>Morgan Marine</t>
  </si>
  <si>
    <t>WEGMANS #088             JAMESTOWN    NY USA</t>
  </si>
  <si>
    <t>ALDI 65039               PENN YAN     NY USA</t>
  </si>
  <si>
    <t>09/12/2024</t>
  </si>
  <si>
    <t>071524 food</t>
  </si>
  <si>
    <t>Inv#H089500</t>
  </si>
  <si>
    <t>09/26/2024</t>
  </si>
  <si>
    <t>Verizon Wireless</t>
  </si>
  <si>
    <t>VERIZON BILL PAYMENT     800-VERIZON  FL USA</t>
  </si>
  <si>
    <t>NYSYS</t>
  </si>
  <si>
    <t>IN *NYSYS WIRELESS, LL   585-9439920  NY USA</t>
  </si>
  <si>
    <t>10/28/2024</t>
  </si>
  <si>
    <t>Tractor Supply</t>
  </si>
  <si>
    <t>TRACTOR SUPPLY #2287     PENN YAN     NY USA</t>
  </si>
  <si>
    <t>Inv#77726</t>
  </si>
  <si>
    <t>AMAZON MKTPL*DA4CB6PZ3   Amzn.com/billWA USA</t>
  </si>
  <si>
    <t>Amazon.com*H333O8D43     Amzn.com/billWA USA</t>
  </si>
  <si>
    <t>09/15/2024</t>
  </si>
  <si>
    <t>AMAZON MARK* UW3KM08L3   SEATTLE      WA USA</t>
  </si>
  <si>
    <t>AMZN Mktp US*M889K18J3   Amzn.com/billWA USA</t>
  </si>
  <si>
    <t>AMAZON MARK* DM5F29HO3   SEATTLE      WA USA</t>
  </si>
  <si>
    <t>#332146</t>
  </si>
  <si>
    <t>#328943</t>
  </si>
  <si>
    <t>#328364</t>
  </si>
  <si>
    <t>#333829</t>
  </si>
  <si>
    <t>Inv299172</t>
  </si>
  <si>
    <t>10/07/2024</t>
  </si>
  <si>
    <t>AMZN Mktp US*BN7745SI3   Amzn.com/billWA USA</t>
  </si>
  <si>
    <t>LSL INC                  XXXXXX1900   NY USA</t>
  </si>
  <si>
    <t>Lake to Lake Septic</t>
  </si>
  <si>
    <t>10/14/2024</t>
  </si>
  <si>
    <t>John Woodring's Installation</t>
  </si>
  <si>
    <t xml:space="preserve">         7335_D Thailand Scholarship</t>
  </si>
  <si>
    <t>SYNODNE.ORG              EAST SYRACUSENY USA</t>
  </si>
  <si>
    <t xml:space="preserve">         Total for 7335_D Thailand Scholarship</t>
  </si>
  <si>
    <t xml:space="preserve">         8030_D Two-Cents-A-Meal</t>
  </si>
  <si>
    <t xml:space="preserve">         Total for 8030_D Two-Cents-A-Meal</t>
  </si>
  <si>
    <t xml:space="preserve">         8171_D Hay Grant</t>
  </si>
  <si>
    <t>10/09/2024</t>
  </si>
  <si>
    <t>Education Fund Donation</t>
  </si>
  <si>
    <t xml:space="preserve">         Total for 8171_D Hay Grant</t>
  </si>
  <si>
    <t>108 (MC)R</t>
  </si>
  <si>
    <t>Inv 81224: 100124-103124 Marji BoP Benefits</t>
  </si>
  <si>
    <t>10/02/2024</t>
  </si>
  <si>
    <t>080424-092424</t>
  </si>
  <si>
    <t>082224 Parking Fee RGH</t>
  </si>
  <si>
    <t xml:space="preserve">               99999_O Uncatergorized Expenses</t>
  </si>
  <si>
    <t>AMAZON RETA* 001LC06C3   SEATTLE      WA USA</t>
  </si>
  <si>
    <t xml:space="preserve">               Total for 99999_O Uncatergorized Expenses</t>
  </si>
  <si>
    <t>Annual PO Box renewal</t>
  </si>
  <si>
    <t>Bruce Incze</t>
  </si>
  <si>
    <t>USPS reimb for shipping gift to Elena Delhagan</t>
  </si>
  <si>
    <t xml:space="preserve">               6715_O Dues &amp; Subscriptions</t>
  </si>
  <si>
    <t>AMCL</t>
  </si>
  <si>
    <t xml:space="preserve">               Total for 6715_O Dues &amp; Subscriptions</t>
  </si>
  <si>
    <t>Aug &amp; Sep home office reimb</t>
  </si>
  <si>
    <t>Sep 2024 Bookkeeping svcs</t>
  </si>
  <si>
    <t xml:space="preserve">                  6840_O Computer Services</t>
  </si>
  <si>
    <t>Inv 20593: 080524 Transition work for office admin accounts</t>
  </si>
  <si>
    <t xml:space="preserve">                  Total for 6840_O Computer Services</t>
  </si>
  <si>
    <t xml:space="preserve">      3101_M PM  YTD AR Adjustment</t>
  </si>
  <si>
    <t>United Church of Marion</t>
  </si>
  <si>
    <t>A/R Aging Summary</t>
  </si>
  <si>
    <t>Current</t>
  </si>
  <si>
    <t>1 - 30</t>
  </si>
  <si>
    <t>31 - 60</t>
  </si>
  <si>
    <t>61 - 90</t>
  </si>
  <si>
    <t>91 and over</t>
  </si>
  <si>
    <t>Almond  Presbyterian Church</t>
  </si>
  <si>
    <t>AR Monthly Adjustment</t>
  </si>
  <si>
    <t>Camp AR</t>
  </si>
  <si>
    <t>Camp Capital Campaign</t>
  </si>
  <si>
    <t>Campminder</t>
  </si>
  <si>
    <t>Elmira Lake St.  Presbyterian</t>
  </si>
  <si>
    <t>Elmira Westminister Church</t>
  </si>
  <si>
    <t>Lodi Presbyterian Church</t>
  </si>
  <si>
    <t>NYS Council Churches</t>
  </si>
  <si>
    <t>United Way</t>
  </si>
  <si>
    <t>West Fayette  Presbyterian Church</t>
  </si>
  <si>
    <t>Williamson  Presbyterian Church</t>
  </si>
  <si>
    <t>Ar Aging</t>
  </si>
  <si>
    <t xml:space="preserve">       1665_W interest/Dividends - Investments</t>
  </si>
  <si>
    <t>Gains/Lossses Investments</t>
  </si>
  <si>
    <t xml:space="preserve">      1660_W Misc Income</t>
  </si>
  <si>
    <t xml:space="preserve">      Total 1660_W Misc Income</t>
  </si>
  <si>
    <t xml:space="preserve">         2126_W Other/Outside Contractors</t>
  </si>
  <si>
    <t xml:space="preserve">            2623_W Housekeeping</t>
  </si>
  <si>
    <t xml:space="preserve">            2628_W First Presbyterian</t>
  </si>
  <si>
    <t xml:space="preserve">         Total 2126_W Other/Outside Contractors</t>
  </si>
  <si>
    <t>115 (MC)R</t>
  </si>
  <si>
    <t xml:space="preserve">         1660_W Misc Income</t>
  </si>
  <si>
    <t xml:space="preserve">            1665_W Interest/Dividends - Investments</t>
  </si>
  <si>
    <t xml:space="preserve">            Total for 1665_W Interest/Dividends - Investments</t>
  </si>
  <si>
    <t xml:space="preserve">         Total for 1660_W Misc Income</t>
  </si>
  <si>
    <t xml:space="preserve">            2126_W Other/Outside Contractors</t>
  </si>
  <si>
    <t xml:space="preserve">               2623_W Housekeeping</t>
  </si>
  <si>
    <t xml:space="preserve">               Total for 2623_W Housekeeping</t>
  </si>
  <si>
    <t xml:space="preserve">               2628_W First Presbyterian</t>
  </si>
  <si>
    <t xml:space="preserve">               Total for 2628_W First Presbyterian</t>
  </si>
  <si>
    <t xml:space="preserve">            Total for 2126_W Other/Outside Contractors</t>
  </si>
  <si>
    <t>131 (MC)</t>
  </si>
  <si>
    <t>2024 Presbytery Mission
   Recommended Monthly Payment:  $</t>
  </si>
  <si>
    <t>updated per Irene</t>
  </si>
  <si>
    <t>void</t>
  </si>
  <si>
    <t>Per  Irene every additional payment of 606.00 should go to Mission</t>
  </si>
  <si>
    <t>Per Irene to add to mission ar with each gift of 606.0</t>
  </si>
  <si>
    <t>PC(USA) Mission Co-Worker
transporation expenses</t>
  </si>
  <si>
    <t>Matthew 25 Grant-</t>
  </si>
  <si>
    <t>Matthew 25 Grant-Welcome the Stranger</t>
  </si>
  <si>
    <t>Matthew 25 Grant</t>
  </si>
  <si>
    <t>Matthew 25 Grant-Bus Passes</t>
  </si>
  <si>
    <t>Matthew 25 Grant-Blessing Box</t>
  </si>
  <si>
    <t>Matthew 25 Grant-Bags of Hope</t>
  </si>
  <si>
    <t>Matthew 25 Grant-CCFP Greenhouse</t>
  </si>
  <si>
    <t>Sep-Oct Peacemaking Fees</t>
  </si>
  <si>
    <t>Matthew 25 Grant: Mission House</t>
  </si>
  <si>
    <t>2024 Grant: Seneca Food Ministry</t>
  </si>
  <si>
    <t>Matthew 25 Grant: Food Pantry</t>
  </si>
  <si>
    <t>2024 Grant Award:Food Pantry</t>
  </si>
  <si>
    <t>2024 Grant Award:Veteran Outreach</t>
  </si>
  <si>
    <t>2024 Grant Award:Meals on Wheels</t>
  </si>
  <si>
    <t>2024Grant Award</t>
  </si>
  <si>
    <t>2024Grant Award: Hospice</t>
  </si>
  <si>
    <t>Matthew 25 Grant-Toddler program</t>
  </si>
  <si>
    <t>Matthew 25 Grant: Community Dinner</t>
  </si>
  <si>
    <t>09/30/24-10/0423: 1/2 lodging for Peacemaker</t>
  </si>
  <si>
    <t>091224 Retiree Pastor Appreciation Luncheon-21attendees</t>
  </si>
  <si>
    <t>COM background check</t>
  </si>
  <si>
    <t>Mileage to Naples</t>
  </si>
  <si>
    <t>background check - Michael Capron</t>
  </si>
  <si>
    <t>10/21/2024 - 11/03/2024</t>
  </si>
  <si>
    <t>11/4/2024 - 11/17/24</t>
  </si>
  <si>
    <t>due from Presbytery</t>
  </si>
  <si>
    <t>11/18/2024 - 12/01/2024</t>
  </si>
  <si>
    <t>as of ck date 12/8/2024</t>
  </si>
  <si>
    <t>January - November 2024</t>
  </si>
  <si>
    <t xml:space="preserve">              2102_W Salary</t>
  </si>
  <si>
    <t xml:space="preserve">             2315_W Board of Pensions</t>
  </si>
  <si>
    <t xml:space="preserve">total </t>
  </si>
  <si>
    <t>Prior YR Adj Camp</t>
  </si>
  <si>
    <t>prior YR Adj Operations</t>
  </si>
  <si>
    <t xml:space="preserve">Prior Year ops </t>
  </si>
  <si>
    <t>Prior Year camp</t>
  </si>
  <si>
    <t xml:space="preserve">               2315_W Board of Pensions</t>
  </si>
  <si>
    <t xml:space="preserve">            2624_W Assistant director - Camper &amp; Counselor Care</t>
  </si>
  <si>
    <t xml:space="preserve">      8290_D Board Designated Funds</t>
  </si>
  <si>
    <t xml:space="preserve">         8156_D Camp Whitman Scholarships</t>
  </si>
  <si>
    <t xml:space="preserve">      Total 8290_D Board Designated Funds</t>
  </si>
  <si>
    <t>11/05/2024</t>
  </si>
  <si>
    <t>11/06/2024</t>
  </si>
  <si>
    <t>11/12/2024</t>
  </si>
  <si>
    <t>Kendra Lord</t>
  </si>
  <si>
    <t>11/30/2024</t>
  </si>
  <si>
    <t>140 (MC)</t>
  </si>
  <si>
    <t>to record credit deposit</t>
  </si>
  <si>
    <t>11/13/2024</t>
  </si>
  <si>
    <t>Alena Friend</t>
  </si>
  <si>
    <t>11/08/2024</t>
  </si>
  <si>
    <t>21452PM</t>
  </si>
  <si>
    <t>Peek, Jill</t>
  </si>
  <si>
    <t>11/20/2024</t>
  </si>
  <si>
    <t>132 (MC)</t>
  </si>
  <si>
    <t>to reclass 2024 scholarshipos  PE BM</t>
  </si>
  <si>
    <t>june</t>
  </si>
  <si>
    <t>11/01/2024</t>
  </si>
  <si>
    <t>125 (MC)</t>
  </si>
  <si>
    <t>Presbytery of Geneva (V)</t>
  </si>
  <si>
    <t>Rebeka Fergusson-Lutz</t>
  </si>
  <si>
    <t>11/18/2024</t>
  </si>
  <si>
    <t>Case, Marjorie</t>
  </si>
  <si>
    <t>127 (MC)</t>
  </si>
  <si>
    <t>10/21/2024 - 11/3/2024  check date 11/08/2024</t>
  </si>
  <si>
    <t>128 (MC)R</t>
  </si>
  <si>
    <t>11/22/2024</t>
  </si>
  <si>
    <t>133 (MC)</t>
  </si>
  <si>
    <t>11/4/2024 - 11/17/2024   ck date 11/22/2024</t>
  </si>
  <si>
    <t>138 (MC)</t>
  </si>
  <si>
    <t>11/18/2024 - 12/01/2024  ck date 12/8/2024</t>
  </si>
  <si>
    <t xml:space="preserve">                  2315_W Board of Pensions</t>
  </si>
  <si>
    <t>R. Crosby  1/2/2024 - 10/31/2024</t>
  </si>
  <si>
    <t>Raymond Crosby  nov</t>
  </si>
  <si>
    <t xml:space="preserve">                  Total for 2315_W Board of Pensions</t>
  </si>
  <si>
    <t xml:space="preserve">               Total for 2108_W Program Director/Assistant Director</t>
  </si>
  <si>
    <t>Bryan</t>
  </si>
  <si>
    <t>134 (MC)</t>
  </si>
  <si>
    <t xml:space="preserve">               2624_W Assistant director - Camper &amp; Counselor Care</t>
  </si>
  <si>
    <t>11/25/2024</t>
  </si>
  <si>
    <t>Invoice for 40% of Anthony Loreti’s Salary
Pay Period: 10024-102024</t>
  </si>
  <si>
    <t>Invoice for 40% of Anthony Loreti’s Salary
Pay Period: 092324-100624</t>
  </si>
  <si>
    <t xml:space="preserve">               Total for 2624_W Assistant director - Camper &amp; Counselor Care</t>
  </si>
  <si>
    <t xml:space="preserve">            2099_W Uncategorized Expense - Camp</t>
  </si>
  <si>
    <t>CFS Flowers &amp; Gifts</t>
  </si>
  <si>
    <t xml:space="preserve">            Total for 2099_W Uncategorized Expense - Camp</t>
  </si>
  <si>
    <t>Rectrac, LLC</t>
  </si>
  <si>
    <t>090424-101024 Mileage</t>
  </si>
  <si>
    <t>stamps</t>
  </si>
  <si>
    <t>Inv#81869</t>
  </si>
  <si>
    <t>23090416 finance chg</t>
  </si>
  <si>
    <t>11/03/2024</t>
  </si>
  <si>
    <t>Inv#83292</t>
  </si>
  <si>
    <t>Inv#82244</t>
  </si>
  <si>
    <t>Inv#83291</t>
  </si>
  <si>
    <t>139 (MC)</t>
  </si>
  <si>
    <t>11/11/2024</t>
  </si>
  <si>
    <t xml:space="preserve">         8290_D Board Designated Funds</t>
  </si>
  <si>
    <t xml:space="preserve">            8156_D Camp Whitman Scholarships</t>
  </si>
  <si>
    <t xml:space="preserve">            Total for 8156_D Camp Whitman Scholarships</t>
  </si>
  <si>
    <t xml:space="preserve">         Total for 8290_D Board Designated Funds</t>
  </si>
  <si>
    <t>131 (MC)R</t>
  </si>
  <si>
    <t>141 (MC)</t>
  </si>
  <si>
    <t>11/04/2024</t>
  </si>
  <si>
    <t>Kathleen Menges</t>
  </si>
  <si>
    <t>090524 Amazon: Disposable silverware</t>
  </si>
  <si>
    <t>090624 Sam's Club: paper products</t>
  </si>
  <si>
    <t>090624 Target: paper products</t>
  </si>
  <si>
    <t>100624 Roundin' Third Catering</t>
  </si>
  <si>
    <t>Joanne Tunison</t>
  </si>
  <si>
    <t>102024 Airbnb: lodging for Peacemaker events</t>
  </si>
  <si>
    <t>102024 Sam's Club: Peacemaker luncheon</t>
  </si>
  <si>
    <t>Marjorie</t>
  </si>
  <si>
    <t>Kindle</t>
  </si>
  <si>
    <t>Inv 20673: Oct Telephone</t>
  </si>
  <si>
    <t>Inv 20615: Sep Telephone</t>
  </si>
  <si>
    <t>Oct 2024 Bookkeeping svcs</t>
  </si>
  <si>
    <t>Transaction Report</t>
  </si>
  <si>
    <t>January 2023 - December 2024</t>
  </si>
  <si>
    <t>Adj</t>
  </si>
  <si>
    <t>Account</t>
  </si>
  <si>
    <t>Split</t>
  </si>
  <si>
    <t>Def Revenue Camp</t>
  </si>
  <si>
    <t>Beginning Balance</t>
  </si>
  <si>
    <t>01/01/2023</t>
  </si>
  <si>
    <t>1217 (MC)</t>
  </si>
  <si>
    <t>No</t>
  </si>
  <si>
    <t>Reverse 2022 DR to Rev 2023  wedding in 2023</t>
  </si>
  <si>
    <t>26555 Def Revenue Camp</t>
  </si>
  <si>
    <t>-Split-</t>
  </si>
  <si>
    <t>Reverse 2022 DR to Rev 2023</t>
  </si>
  <si>
    <t>08/02/2023</t>
  </si>
  <si>
    <t>21143PC</t>
  </si>
  <si>
    <t>Ruscio, Erica</t>
  </si>
  <si>
    <t>Wedding August 2-24</t>
  </si>
  <si>
    <t>105 Community - Camp Checking (0670)</t>
  </si>
  <si>
    <t>21144PC</t>
  </si>
  <si>
    <t>Swingle, Marisa</t>
  </si>
  <si>
    <t>rental</t>
  </si>
  <si>
    <t>11/08/2023</t>
  </si>
  <si>
    <t>21199PC</t>
  </si>
  <si>
    <t>camper fees</t>
  </si>
  <si>
    <t>21200PC</t>
  </si>
  <si>
    <t>Ferandino, Josie</t>
  </si>
  <si>
    <t>11/10/2023</t>
  </si>
  <si>
    <t>21203PC</t>
  </si>
  <si>
    <t>Wozniak, Kate &amp; Jeff</t>
  </si>
  <si>
    <t>12000 Undeposited Funds</t>
  </si>
  <si>
    <t>21202PC</t>
  </si>
  <si>
    <t>11/12/2023</t>
  </si>
  <si>
    <t>21201PC</t>
  </si>
  <si>
    <t>Johnson, Ben</t>
  </si>
  <si>
    <t>11/20/2023</t>
  </si>
  <si>
    <t>21204PC</t>
  </si>
  <si>
    <t>11/21/2023</t>
  </si>
  <si>
    <t>21205PC</t>
  </si>
  <si>
    <t>Garretson, Kristin &amp; Preston</t>
  </si>
  <si>
    <t>11/25/2023</t>
  </si>
  <si>
    <t>21206PC</t>
  </si>
  <si>
    <t>Osborne, Nicole</t>
  </si>
  <si>
    <t>11/27/2023</t>
  </si>
  <si>
    <t>21191PC</t>
  </si>
  <si>
    <t>2024 Deposit  group rental fees</t>
  </si>
  <si>
    <t>21192PC</t>
  </si>
  <si>
    <t>2024 Deposit   rental group fees</t>
  </si>
  <si>
    <t>11/29/2023</t>
  </si>
  <si>
    <t>21207PC</t>
  </si>
  <si>
    <t>Nettleton, John &amp; Susan</t>
  </si>
  <si>
    <t>Total for Def Revenue Camp</t>
  </si>
  <si>
    <t>Monday, Jan 06, 2025 10:36:55 AM GMT-8 - Accrual Basis</t>
  </si>
  <si>
    <t>December</t>
  </si>
  <si>
    <t>January - December  2024</t>
  </si>
  <si>
    <t>January - December 2024</t>
  </si>
  <si>
    <t xml:space="preserve">            88888_O Undistributed Income</t>
  </si>
  <si>
    <t xml:space="preserve">            6662_O Committee Expenses - Operations</t>
  </si>
  <si>
    <t xml:space="preserve">   8007_D DEDICATED EXPENSES</t>
  </si>
  <si>
    <t>Saturday, Jan 11, 2025 10:24:16 AM GMT-8 - Accrual Basis</t>
  </si>
  <si>
    <t>As of December 31, 2024</t>
  </si>
  <si>
    <t>Saturday, Jan 11, 2025 10:34:07 AM GMT-8</t>
  </si>
  <si>
    <t>12/02/2024 - 12/15/24</t>
  </si>
  <si>
    <t>12/16/2024 - 12/29/2024</t>
  </si>
  <si>
    <t>will add this back into the 2025 reports</t>
  </si>
  <si>
    <t>As of Dec 31, 2024</t>
  </si>
  <si>
    <t>As of Dec 31, 2023 (PY)</t>
  </si>
  <si>
    <t>Jan - Dec 2024</t>
  </si>
  <si>
    <t>Jan - Dec 2023 (PY)</t>
  </si>
  <si>
    <t xml:space="preserve">            4512_O Uncategorized Income - Ops</t>
  </si>
  <si>
    <t xml:space="preserve">         1002_W Camp Discounts/Scholarships</t>
  </si>
  <si>
    <t xml:space="preserve">         1670_W Gift In Kind - Camp</t>
  </si>
  <si>
    <t xml:space="preserve">   Services</t>
  </si>
  <si>
    <t xml:space="preserve">            2020_W Program Staff/Life Guards</t>
  </si>
  <si>
    <t xml:space="preserve">            2030_W Nurses (7)</t>
  </si>
  <si>
    <t xml:space="preserve">            2103_W Chaplain Intern</t>
  </si>
  <si>
    <t xml:space="preserve">            2625_W Farm &amp; Garden Manager</t>
  </si>
  <si>
    <t xml:space="preserve">            2627_W Hospitality Manager</t>
  </si>
  <si>
    <t xml:space="preserve">            2621_W Lawn Moving</t>
  </si>
  <si>
    <t xml:space="preserve">            2622_W Maintenance</t>
  </si>
  <si>
    <t xml:space="preserve">         2728_W Gift In Kind Camp</t>
  </si>
  <si>
    <t xml:space="preserve">         6100_W Camp Year Round Salaries</t>
  </si>
  <si>
    <t xml:space="preserve">            6060_W Camp Property Manager Salary</t>
  </si>
  <si>
    <t xml:space="preserve">         Total 6100_W Camp Year Round Salaries</t>
  </si>
  <si>
    <t xml:space="preserve">            6251_O Other</t>
  </si>
  <si>
    <t xml:space="preserve">   6666_O Expenses - Commitee</t>
  </si>
  <si>
    <t xml:space="preserve">      6501_O General Council</t>
  </si>
  <si>
    <t xml:space="preserve">   Total 6666_O Expenses - Commitee</t>
  </si>
  <si>
    <t xml:space="preserve">   4530 Chg in Interest In Life Ins</t>
  </si>
  <si>
    <t xml:space="preserve">         7002_D CW Maintenance Fund</t>
  </si>
  <si>
    <t xml:space="preserve">         7350_D Camp Whitman Endowment/Scholarships</t>
  </si>
  <si>
    <t xml:space="preserve">            7226_D Grant Donations</t>
  </si>
  <si>
    <t xml:space="preserve">            7351_D Hammondsport Scholarship</t>
  </si>
  <si>
    <t xml:space="preserve">         Total 7350_D Camp Whitman Endowment/Scholarships</t>
  </si>
  <si>
    <t xml:space="preserve">      Total 7226_W Camp Whitman Scholarships</t>
  </si>
  <si>
    <t xml:space="preserve">      7250_D Peacemaking</t>
  </si>
  <si>
    <t xml:space="preserve">      7252_D Emergency Pastoral Care Fund</t>
  </si>
  <si>
    <t xml:space="preserve">   6899_W Losses On Investments</t>
  </si>
  <si>
    <t xml:space="preserve">      8111_D Camp - TR</t>
  </si>
  <si>
    <t xml:space="preserve">         8002_D CW Maintenance Fund</t>
  </si>
  <si>
    <t xml:space="preserve">         8195_D Capital Campaign</t>
  </si>
  <si>
    <t xml:space="preserve">         8229_D Hattie Hardmann Fund</t>
  </si>
  <si>
    <t xml:space="preserve">      Total 8111_D Camp - TR</t>
  </si>
  <si>
    <t xml:space="preserve">         8090_D Youth Triennium</t>
  </si>
  <si>
    <t xml:space="preserve">   9811 2023 YE</t>
  </si>
  <si>
    <t xml:space="preserve">   99000 Prior Year Adj</t>
  </si>
  <si>
    <t xml:space="preserve">   9999_O Other Expenses</t>
  </si>
  <si>
    <t xml:space="preserve">      6711_O Depreciation</t>
  </si>
  <si>
    <t xml:space="preserve">      9900 Investment Expenses</t>
  </si>
  <si>
    <t xml:space="preserve">         6796_O Investment Losses</t>
  </si>
  <si>
    <t xml:space="preserve">      Total 9900 Investment Expenses</t>
  </si>
  <si>
    <t xml:space="preserve">   Total 9999_O Other Expenses</t>
  </si>
  <si>
    <t>Saturday, Jan 11, 2025 10:57:44 AM GMT-8 - Accrual Basis</t>
  </si>
  <si>
    <t>P&amp;L Prior Year compa</t>
  </si>
  <si>
    <t>2a</t>
  </si>
  <si>
    <t>Saturday, Jan 11, 2025 11:04:04 AM GMT-8</t>
  </si>
  <si>
    <t>12/01/2024</t>
  </si>
  <si>
    <t>12/06/2024</t>
  </si>
  <si>
    <t>12/10/2024</t>
  </si>
  <si>
    <t>Resource Center for Independent Living, I</t>
  </si>
  <si>
    <t>12/13/2024</t>
  </si>
  <si>
    <t>12/31/2024</t>
  </si>
  <si>
    <t>151 (MC)</t>
  </si>
  <si>
    <t>defer from 2023</t>
  </si>
  <si>
    <t>Avon Central Presbyterian</t>
  </si>
  <si>
    <t>12/11/2024</t>
  </si>
  <si>
    <t>12/23/2024</t>
  </si>
  <si>
    <t>11/30/24</t>
  </si>
  <si>
    <t>154 (MC)</t>
  </si>
  <si>
    <t>deposit  12/09  Forte??    probably 100 - fees</t>
  </si>
  <si>
    <t>TBD  12/30 deposit</t>
  </si>
  <si>
    <t>TBD  12/31deposit</t>
  </si>
  <si>
    <t>TBD  12/26 deposit</t>
  </si>
  <si>
    <t>137 (MC)</t>
  </si>
  <si>
    <t>11/18/2024 - 12/01/2024 check date 12/08/2024</t>
  </si>
  <si>
    <t>12/08/2024</t>
  </si>
  <si>
    <t>138 (MC)R</t>
  </si>
  <si>
    <t>12/20/2024</t>
  </si>
  <si>
    <t>146 (MC)</t>
  </si>
  <si>
    <t>12/02/24 - 12/15/2024 ck date 12/20/24</t>
  </si>
  <si>
    <t>148 (MC)</t>
  </si>
  <si>
    <t>12/16/2024 - 12/29/24 check date 1/3/2025</t>
  </si>
  <si>
    <t>143 (MC)</t>
  </si>
  <si>
    <t>12/31/24 (010226)</t>
  </si>
  <si>
    <t>Constance Marie Cass</t>
  </si>
  <si>
    <t>Sept 2024 Cabin Cleaning</t>
  </si>
  <si>
    <t>12/31/24 (010225)</t>
  </si>
  <si>
    <t>Invoice for 40% of Anthony Loreti’s Salary
Pay Period: 102124-110324</t>
  </si>
  <si>
    <t>Invoice for 40% of Anthony Loreti’s Salary
Pay Period: 110424-111724</t>
  </si>
  <si>
    <t>12/09/2024</t>
  </si>
  <si>
    <t>Fingerlakes Comp</t>
  </si>
  <si>
    <t>12/17/2024</t>
  </si>
  <si>
    <t>Beaver Camp</t>
  </si>
  <si>
    <t>12/03/2024</t>
  </si>
  <si>
    <t>153 (MC)</t>
  </si>
  <si>
    <t>Penny Lane Printing</t>
  </si>
  <si>
    <t>242314: envelopes, letters, mail merge, postage, mail prep</t>
  </si>
  <si>
    <t>12/31/24 (010227)</t>
  </si>
  <si>
    <t>Custom Pest Control</t>
  </si>
  <si>
    <t>Saturday, Jan 11, 2025 11:05:50 AM GMT-8 - Accrual Basis</t>
  </si>
  <si>
    <t>12/05/2024</t>
  </si>
  <si>
    <t>12/12/2024</t>
  </si>
  <si>
    <t>12/30/2024</t>
  </si>
  <si>
    <t xml:space="preserve">      8007_D DEDICATED EXPENSES</t>
  </si>
  <si>
    <t>155 (MC)</t>
  </si>
  <si>
    <t>to clear entry by Lea</t>
  </si>
  <si>
    <t xml:space="preserve">      Total for 8007_D DEDICATED EXPENSES</t>
  </si>
  <si>
    <t>Saturday, Jan 11, 2025 11:07:17 AM GMT-8 - Accrual Basis</t>
  </si>
  <si>
    <t xml:space="preserve">               4200_O Presbytery Per Capita</t>
  </si>
  <si>
    <t>1716PC</t>
  </si>
  <si>
    <t>Per capita donation</t>
  </si>
  <si>
    <t xml:space="preserve">               Total for 4200_O Presbytery Per Capita</t>
  </si>
  <si>
    <t>141 (MC)R</t>
  </si>
  <si>
    <t xml:space="preserve">               88888_O Undistributed Income</t>
  </si>
  <si>
    <t>12/02/2024</t>
  </si>
  <si>
    <t>TBD   Presbytery PCF check</t>
  </si>
  <si>
    <t xml:space="preserve">               Total for 88888_O Undistributed Income</t>
  </si>
  <si>
    <t>123124 (010225)</t>
  </si>
  <si>
    <t>Q4 Mileage Reimb</t>
  </si>
  <si>
    <t>Inv 20761: Nov Telephone</t>
  </si>
  <si>
    <t>Inv 20793: Domain Registration</t>
  </si>
  <si>
    <t>Inv 20832 - .5hrs: update Marji's security software &amp; Zoom</t>
  </si>
  <si>
    <t xml:space="preserve">               6662_O Committee Expenses - Operations</t>
  </si>
  <si>
    <t>Ashby, David</t>
  </si>
  <si>
    <t>112024-112224 Mid Council Financial Conference Reimbursement</t>
  </si>
  <si>
    <t xml:space="preserve">               Total for 6662_O Committee Expenses - Operations</t>
  </si>
  <si>
    <t>Evan Hansen</t>
  </si>
  <si>
    <t>112024 Amazon: Logitech Camera for Admin Support</t>
  </si>
  <si>
    <t>Q4 Home Office Reimb</t>
  </si>
  <si>
    <t xml:space="preserve">               6775_O Presbytery Meeting Expenses</t>
  </si>
  <si>
    <t>Robert Robertshaw</t>
  </si>
  <si>
    <t>11/12/24-11/13/24 Pby Mtg tech support</t>
  </si>
  <si>
    <t xml:space="preserve">               Total for 6775_O Presbytery Meeting Expenses</t>
  </si>
  <si>
    <t>Nov2024 Inv 3541 Bookkeeping svcs</t>
  </si>
  <si>
    <t>Inv 20831 - .5hrs: phone set up for Gretchen</t>
  </si>
  <si>
    <t>Inv 20832 - .5hrs: work w David Ashby on new email: manage@presbyteryofgeneva.org</t>
  </si>
  <si>
    <t>Saturday, Jan 11, 2025 11:08:24 AM GMT-8 - Accrual Basis</t>
  </si>
  <si>
    <t>Saturday, Jan 11, 2025 11:09:35 AM GMT-8 - Accrual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</si>
</sst>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-409]mmm\-yy;@"/>
    <numFmt numFmtId="166" formatCode="#,##0.00\ _€"/>
    <numFmt numFmtId="167" formatCode="&quot;$&quot;* #,##0.00\ _€"/>
    <numFmt numFmtId="168" formatCode="mm/dd/yy;@"/>
  </numFmts>
  <fonts count="4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8"/>
      <name val="Arial"/>
      <family val="2"/>
    </font>
    <font>
      <u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11"/>
      <name val="Calibri"/>
      <family val="2"/>
      <scheme val="minor"/>
    </font>
    <font>
      <b/>
      <sz val="14"/>
      <color indexed="8"/>
      <name val="Arial"/>
    </font>
    <font>
      <b/>
      <sz val="10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6" fillId="0" borderId="0" applyFont="0" applyFill="0" applyBorder="0" applyAlignment="0" applyProtection="0"/>
    <xf numFmtId="0" fontId="6" fillId="0" borderId="0"/>
    <xf numFmtId="0" fontId="7" fillId="0" borderId="0"/>
    <xf numFmtId="44" fontId="9" fillId="0" borderId="0" applyFont="0" applyFill="0" applyBorder="0" applyAlignment="0" applyProtection="0"/>
    <xf numFmtId="0" fontId="18" fillId="0" borderId="0"/>
  </cellStyleXfs>
  <cellXfs count="366">
    <xf numFmtId="0" fontId="0" fillId="0" borderId="0" xfId="0"/>
    <xf numFmtId="4" fontId="0" fillId="0" borderId="0" xfId="0" applyNumberFormat="1"/>
    <xf numFmtId="7" fontId="0" fillId="0" borderId="16" xfId="4" applyNumberFormat="1" applyFont="1" applyFill="1" applyBorder="1"/>
    <xf numFmtId="7" fontId="9" fillId="0" borderId="16" xfId="4" applyNumberFormat="1" applyFont="1" applyFill="1" applyBorder="1"/>
    <xf numFmtId="4" fontId="15" fillId="0" borderId="0" xfId="2" applyNumberFormat="1" applyFont="1"/>
    <xf numFmtId="7" fontId="10" fillId="0" borderId="16" xfId="4" applyNumberFormat="1" applyFont="1" applyFill="1" applyBorder="1"/>
    <xf numFmtId="166" fontId="15" fillId="0" borderId="0" xfId="0" applyNumberFormat="1" applyFont="1" applyAlignment="1">
      <alignment horizontal="right" wrapText="1"/>
    </xf>
    <xf numFmtId="0" fontId="14" fillId="0" borderId="0" xfId="0" applyFont="1" applyAlignment="1">
      <alignment horizontal="left" wrapText="1"/>
    </xf>
    <xf numFmtId="166" fontId="15" fillId="0" borderId="0" xfId="0" applyNumberFormat="1" applyFont="1" applyAlignment="1">
      <alignment wrapText="1"/>
    </xf>
    <xf numFmtId="167" fontId="14" fillId="0" borderId="15" xfId="0" applyNumberFormat="1" applyFont="1" applyBorder="1" applyAlignment="1">
      <alignment horizontal="right" wrapText="1"/>
    </xf>
    <xf numFmtId="0" fontId="11" fillId="0" borderId="35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/>
    <xf numFmtId="166" fontId="14" fillId="0" borderId="0" xfId="0" applyNumberFormat="1" applyFont="1" applyAlignment="1">
      <alignment horizontal="right" wrapText="1"/>
    </xf>
    <xf numFmtId="4" fontId="16" fillId="0" borderId="0" xfId="2" applyNumberFormat="1" applyFont="1"/>
    <xf numFmtId="4" fontId="19" fillId="0" borderId="0" xfId="2" applyNumberFormat="1" applyFont="1" applyAlignment="1">
      <alignment horizontal="center"/>
    </xf>
    <xf numFmtId="49" fontId="15" fillId="0" borderId="0" xfId="2" applyNumberFormat="1" applyFont="1"/>
    <xf numFmtId="44" fontId="16" fillId="0" borderId="0" xfId="4" applyFont="1" applyFill="1" applyBorder="1"/>
    <xf numFmtId="49" fontId="15" fillId="0" borderId="0" xfId="2" applyNumberFormat="1" applyFont="1" applyAlignment="1">
      <alignment wrapText="1"/>
    </xf>
    <xf numFmtId="49" fontId="15" fillId="0" borderId="1" xfId="2" applyNumberFormat="1" applyFont="1" applyBorder="1"/>
    <xf numFmtId="4" fontId="16" fillId="0" borderId="1" xfId="2" applyNumberFormat="1" applyFont="1" applyBorder="1"/>
    <xf numFmtId="0" fontId="16" fillId="0" borderId="16" xfId="2" applyFont="1" applyBorder="1" applyAlignment="1">
      <alignment horizontal="center" vertical="top" wrapText="1"/>
    </xf>
    <xf numFmtId="49" fontId="16" fillId="0" borderId="0" xfId="2" applyNumberFormat="1" applyFont="1" applyAlignment="1">
      <alignment horizontal="left"/>
    </xf>
    <xf numFmtId="0" fontId="16" fillId="0" borderId="0" xfId="2" applyFont="1"/>
    <xf numFmtId="4" fontId="16" fillId="0" borderId="35" xfId="2" applyNumberFormat="1" applyFont="1" applyBorder="1"/>
    <xf numFmtId="4" fontId="15" fillId="0" borderId="1" xfId="2" applyNumberFormat="1" applyFont="1" applyBorder="1"/>
    <xf numFmtId="49" fontId="15" fillId="0" borderId="0" xfId="2" applyNumberFormat="1" applyFont="1" applyAlignment="1">
      <alignment horizontal="center"/>
    </xf>
    <xf numFmtId="0" fontId="17" fillId="0" borderId="0" xfId="0" applyFont="1"/>
    <xf numFmtId="4" fontId="15" fillId="0" borderId="24" xfId="2" applyNumberFormat="1" applyFont="1" applyBorder="1"/>
    <xf numFmtId="0" fontId="19" fillId="0" borderId="0" xfId="2" applyFont="1" applyAlignment="1">
      <alignment horizontal="center"/>
    </xf>
    <xf numFmtId="49" fontId="20" fillId="0" borderId="0" xfId="2" applyNumberFormat="1" applyFont="1" applyAlignment="1">
      <alignment horizontal="center"/>
    </xf>
    <xf numFmtId="4" fontId="20" fillId="0" borderId="0" xfId="2" applyNumberFormat="1" applyFont="1" applyAlignment="1">
      <alignment horizontal="center"/>
    </xf>
    <xf numFmtId="4" fontId="15" fillId="0" borderId="2" xfId="2" applyNumberFormat="1" applyFont="1" applyBorder="1"/>
    <xf numFmtId="167" fontId="14" fillId="0" borderId="0" xfId="0" applyNumberFormat="1" applyFont="1" applyAlignment="1">
      <alignment horizontal="right" wrapText="1"/>
    </xf>
    <xf numFmtId="0" fontId="15" fillId="0" borderId="0" xfId="2" applyFont="1"/>
    <xf numFmtId="0" fontId="14" fillId="0" borderId="0" xfId="2" applyFont="1" applyAlignment="1">
      <alignment horizontal="center"/>
    </xf>
    <xf numFmtId="0" fontId="16" fillId="0" borderId="34" xfId="2" applyFont="1" applyBorder="1" applyAlignment="1">
      <alignment horizontal="center"/>
    </xf>
    <xf numFmtId="0" fontId="16" fillId="0" borderId="0" xfId="2" applyFont="1" applyAlignment="1">
      <alignment horizontal="center"/>
    </xf>
    <xf numFmtId="49" fontId="15" fillId="0" borderId="0" xfId="2" applyNumberFormat="1" applyFont="1" applyAlignment="1">
      <alignment vertical="top"/>
    </xf>
    <xf numFmtId="0" fontId="14" fillId="0" borderId="0" xfId="2" applyFont="1" applyAlignment="1">
      <alignment horizontal="center" vertical="top"/>
    </xf>
    <xf numFmtId="49" fontId="15" fillId="0" borderId="0" xfId="2" applyNumberFormat="1" applyFont="1" applyAlignment="1">
      <alignment horizontal="center" vertical="top"/>
    </xf>
    <xf numFmtId="0" fontId="16" fillId="0" borderId="26" xfId="2" applyFont="1" applyBorder="1" applyAlignment="1">
      <alignment horizontal="center" vertical="top" wrapText="1"/>
    </xf>
    <xf numFmtId="0" fontId="16" fillId="0" borderId="34" xfId="2" applyFont="1" applyBorder="1" applyAlignment="1">
      <alignment horizontal="center" vertical="top" wrapText="1"/>
    </xf>
    <xf numFmtId="0" fontId="16" fillId="0" borderId="0" xfId="2" applyFont="1" applyAlignment="1">
      <alignment horizontal="center" vertical="top"/>
    </xf>
    <xf numFmtId="165" fontId="16" fillId="0" borderId="16" xfId="2" applyNumberFormat="1" applyFont="1" applyBorder="1" applyAlignment="1">
      <alignment horizontal="center" vertical="top"/>
    </xf>
    <xf numFmtId="44" fontId="16" fillId="0" borderId="0" xfId="2" applyNumberFormat="1" applyFont="1"/>
    <xf numFmtId="4" fontId="21" fillId="0" borderId="0" xfId="2" applyNumberFormat="1" applyFont="1"/>
    <xf numFmtId="4" fontId="14" fillId="0" borderId="2" xfId="2" applyNumberFormat="1" applyFont="1" applyBorder="1"/>
    <xf numFmtId="165" fontId="16" fillId="0" borderId="0" xfId="2" applyNumberFormat="1" applyFont="1"/>
    <xf numFmtId="7" fontId="9" fillId="0" borderId="29" xfId="4" applyNumberFormat="1" applyFont="1" applyFill="1" applyBorder="1"/>
    <xf numFmtId="7" fontId="9" fillId="0" borderId="0" xfId="4" applyNumberFormat="1" applyFont="1" applyFill="1" applyBorder="1"/>
    <xf numFmtId="166" fontId="0" fillId="0" borderId="0" xfId="0" applyNumberFormat="1"/>
    <xf numFmtId="0" fontId="16" fillId="0" borderId="0" xfId="2" applyFont="1" applyAlignment="1">
      <alignment wrapText="1"/>
    </xf>
    <xf numFmtId="4" fontId="8" fillId="0" borderId="0" xfId="0" applyNumberFormat="1" applyFont="1"/>
    <xf numFmtId="0" fontId="16" fillId="0" borderId="35" xfId="2" applyFont="1" applyBorder="1"/>
    <xf numFmtId="166" fontId="14" fillId="0" borderId="0" xfId="0" applyNumberFormat="1" applyFont="1" applyAlignment="1">
      <alignment wrapText="1"/>
    </xf>
    <xf numFmtId="0" fontId="23" fillId="0" borderId="0" xfId="0" applyFont="1" applyAlignment="1">
      <alignment horizontal="left" wrapText="1"/>
    </xf>
    <xf numFmtId="0" fontId="24" fillId="0" borderId="16" xfId="0" applyFont="1" applyBorder="1" applyAlignment="1">
      <alignment wrapText="1"/>
    </xf>
    <xf numFmtId="44" fontId="16" fillId="0" borderId="1" xfId="4" applyFont="1" applyFill="1" applyBorder="1"/>
    <xf numFmtId="4" fontId="17" fillId="0" borderId="0" xfId="0" applyNumberFormat="1" applyFont="1"/>
    <xf numFmtId="0" fontId="15" fillId="0" borderId="10" xfId="2" applyFont="1" applyBorder="1"/>
    <xf numFmtId="0" fontId="16" fillId="0" borderId="6" xfId="2" applyFont="1" applyBorder="1"/>
    <xf numFmtId="4" fontId="15" fillId="0" borderId="37" xfId="2" applyNumberFormat="1" applyFont="1" applyBorder="1"/>
    <xf numFmtId="4" fontId="16" fillId="0" borderId="13" xfId="2" applyNumberFormat="1" applyFont="1" applyBorder="1"/>
    <xf numFmtId="4" fontId="15" fillId="0" borderId="37" xfId="2" applyNumberFormat="1" applyFont="1" applyBorder="1" applyAlignment="1">
      <alignment horizontal="center"/>
    </xf>
    <xf numFmtId="4" fontId="16" fillId="0" borderId="19" xfId="2" applyNumberFormat="1" applyFont="1" applyBorder="1"/>
    <xf numFmtId="4" fontId="16" fillId="0" borderId="44" xfId="2" applyNumberFormat="1" applyFont="1" applyBorder="1"/>
    <xf numFmtId="0" fontId="16" fillId="0" borderId="13" xfId="2" applyFont="1" applyBorder="1"/>
    <xf numFmtId="0" fontId="16" fillId="0" borderId="37" xfId="2" applyFont="1" applyBorder="1"/>
    <xf numFmtId="4" fontId="15" fillId="0" borderId="36" xfId="2" applyNumberFormat="1" applyFont="1" applyBorder="1"/>
    <xf numFmtId="0" fontId="28" fillId="0" borderId="0" xfId="0" applyFont="1" applyAlignment="1">
      <alignment horizontal="left" wrapText="1"/>
    </xf>
    <xf numFmtId="166" fontId="29" fillId="0" borderId="0" xfId="0" applyNumberFormat="1" applyFont="1" applyAlignment="1">
      <alignment horizontal="right" wrapText="1"/>
    </xf>
    <xf numFmtId="49" fontId="15" fillId="0" borderId="16" xfId="2" applyNumberFormat="1" applyFont="1" applyBorder="1" applyAlignment="1">
      <alignment horizontal="center" vertical="top" wrapText="1"/>
    </xf>
    <xf numFmtId="167" fontId="14" fillId="2" borderId="15" xfId="0" applyNumberFormat="1" applyFont="1" applyFill="1" applyBorder="1" applyAlignment="1">
      <alignment horizontal="right" wrapText="1"/>
    </xf>
    <xf numFmtId="166" fontId="30" fillId="0" borderId="0" xfId="0" applyNumberFormat="1" applyFont="1" applyAlignment="1">
      <alignment horizontal="right" wrapText="1"/>
    </xf>
    <xf numFmtId="0" fontId="11" fillId="0" borderId="0" xfId="0" applyFont="1" applyAlignment="1">
      <alignment horizontal="center" wrapText="1"/>
    </xf>
    <xf numFmtId="166" fontId="15" fillId="0" borderId="1" xfId="0" applyNumberFormat="1" applyFont="1" applyBorder="1" applyAlignment="1">
      <alignment horizontal="right" wrapText="1"/>
    </xf>
    <xf numFmtId="0" fontId="14" fillId="5" borderId="0" xfId="0" applyFont="1" applyFill="1" applyAlignment="1">
      <alignment horizontal="left" wrapText="1"/>
    </xf>
    <xf numFmtId="167" fontId="14" fillId="5" borderId="15" xfId="0" applyNumberFormat="1" applyFont="1" applyFill="1" applyBorder="1" applyAlignment="1">
      <alignment horizontal="right" wrapText="1"/>
    </xf>
    <xf numFmtId="0" fontId="0" fillId="5" borderId="0" xfId="0" applyFill="1"/>
    <xf numFmtId="4" fontId="10" fillId="0" borderId="0" xfId="0" applyNumberFormat="1" applyFont="1"/>
    <xf numFmtId="4" fontId="15" fillId="0" borderId="37" xfId="2" applyNumberFormat="1" applyFont="1" applyBorder="1" applyAlignment="1">
      <alignment horizontal="left"/>
    </xf>
    <xf numFmtId="4" fontId="14" fillId="0" borderId="37" xfId="2" applyNumberFormat="1" applyFont="1" applyBorder="1" applyAlignment="1">
      <alignment horizontal="center"/>
    </xf>
    <xf numFmtId="166" fontId="32" fillId="0" borderId="0" xfId="0" applyNumberFormat="1" applyFont="1" applyAlignment="1">
      <alignment horizontal="right" wrapText="1"/>
    </xf>
    <xf numFmtId="0" fontId="0" fillId="0" borderId="0" xfId="0" applyAlignment="1">
      <alignment horizontal="center"/>
    </xf>
    <xf numFmtId="4" fontId="15" fillId="2" borderId="0" xfId="2" applyNumberFormat="1" applyFont="1" applyFill="1"/>
    <xf numFmtId="4" fontId="34" fillId="3" borderId="42" xfId="0" applyNumberFormat="1" applyFont="1" applyFill="1" applyBorder="1"/>
    <xf numFmtId="167" fontId="35" fillId="0" borderId="15" xfId="0" applyNumberFormat="1" applyFont="1" applyBorder="1" applyAlignment="1">
      <alignment horizontal="right" wrapText="1"/>
    </xf>
    <xf numFmtId="0" fontId="16" fillId="0" borderId="19" xfId="2" applyFont="1" applyBorder="1"/>
    <xf numFmtId="166" fontId="36" fillId="0" borderId="0" xfId="0" applyNumberFormat="1" applyFont="1" applyAlignment="1">
      <alignment horizontal="right" wrapText="1"/>
    </xf>
    <xf numFmtId="44" fontId="0" fillId="0" borderId="0" xfId="4" applyFont="1" applyFill="1" applyAlignment="1"/>
    <xf numFmtId="44" fontId="0" fillId="0" borderId="0" xfId="4" applyFont="1" applyFill="1" applyAlignment="1">
      <alignment horizontal="center"/>
    </xf>
    <xf numFmtId="44" fontId="0" fillId="0" borderId="0" xfId="4" applyFont="1" applyFill="1"/>
    <xf numFmtId="49" fontId="15" fillId="0" borderId="35" xfId="2" applyNumberFormat="1" applyFont="1" applyBorder="1"/>
    <xf numFmtId="4" fontId="15" fillId="0" borderId="35" xfId="2" applyNumberFormat="1" applyFont="1" applyBorder="1"/>
    <xf numFmtId="4" fontId="21" fillId="0" borderId="35" xfId="2" applyNumberFormat="1" applyFont="1" applyBorder="1"/>
    <xf numFmtId="44" fontId="16" fillId="0" borderId="35" xfId="4" applyFont="1" applyFill="1" applyBorder="1"/>
    <xf numFmtId="49" fontId="15" fillId="0" borderId="24" xfId="2" applyNumberFormat="1" applyFont="1" applyBorder="1" applyAlignment="1">
      <alignment horizontal="center"/>
    </xf>
    <xf numFmtId="44" fontId="10" fillId="0" borderId="0" xfId="4" applyFont="1" applyFill="1" applyAlignment="1"/>
    <xf numFmtId="44" fontId="10" fillId="0" borderId="0" xfId="4" applyFont="1" applyFill="1" applyAlignment="1">
      <alignment horizontal="center"/>
    </xf>
    <xf numFmtId="44" fontId="10" fillId="0" borderId="0" xfId="4" applyFont="1" applyFill="1"/>
    <xf numFmtId="44" fontId="16" fillId="0" borderId="10" xfId="4" applyFont="1" applyFill="1" applyBorder="1"/>
    <xf numFmtId="4" fontId="16" fillId="0" borderId="6" xfId="2" applyNumberFormat="1" applyFont="1" applyBorder="1"/>
    <xf numFmtId="44" fontId="16" fillId="0" borderId="37" xfId="4" applyFont="1" applyFill="1" applyBorder="1"/>
    <xf numFmtId="4" fontId="16" fillId="0" borderId="36" xfId="2" applyNumberFormat="1" applyFont="1" applyBorder="1"/>
    <xf numFmtId="4" fontId="16" fillId="0" borderId="37" xfId="2" applyNumberFormat="1" applyFont="1" applyBorder="1"/>
    <xf numFmtId="0" fontId="16" fillId="0" borderId="36" xfId="2" applyFont="1" applyBorder="1"/>
    <xf numFmtId="166" fontId="38" fillId="0" borderId="0" xfId="0" applyNumberFormat="1" applyFont="1" applyAlignment="1">
      <alignment horizontal="right" wrapText="1"/>
    </xf>
    <xf numFmtId="0" fontId="0" fillId="0" borderId="1" xfId="0" applyBorder="1"/>
    <xf numFmtId="0" fontId="0" fillId="0" borderId="0" xfId="0" applyAlignment="1">
      <alignment horizontal="center" wrapText="1"/>
    </xf>
    <xf numFmtId="166" fontId="32" fillId="2" borderId="0" xfId="0" applyNumberFormat="1" applyFont="1" applyFill="1" applyAlignment="1">
      <alignment horizontal="right" wrapText="1"/>
    </xf>
    <xf numFmtId="4" fontId="10" fillId="0" borderId="0" xfId="0" applyNumberFormat="1" applyFont="1" applyAlignment="1">
      <alignment horizontal="center" wrapText="1"/>
    </xf>
    <xf numFmtId="4" fontId="0" fillId="2" borderId="0" xfId="0" applyNumberFormat="1" applyFill="1"/>
    <xf numFmtId="0" fontId="17" fillId="0" borderId="0" xfId="0" applyFont="1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4" fontId="0" fillId="0" borderId="10" xfId="0" applyNumberFormat="1" applyBorder="1"/>
    <xf numFmtId="4" fontId="0" fillId="0" borderId="3" xfId="0" applyNumberFormat="1" applyBorder="1"/>
    <xf numFmtId="0" fontId="0" fillId="0" borderId="3" xfId="0" applyBorder="1"/>
    <xf numFmtId="0" fontId="0" fillId="0" borderId="6" xfId="0" applyBorder="1"/>
    <xf numFmtId="0" fontId="0" fillId="0" borderId="13" xfId="0" applyBorder="1"/>
    <xf numFmtId="4" fontId="0" fillId="0" borderId="36" xfId="0" applyNumberFormat="1" applyBorder="1"/>
    <xf numFmtId="4" fontId="0" fillId="2" borderId="1" xfId="0" applyNumberFormat="1" applyFill="1" applyBorder="1"/>
    <xf numFmtId="0" fontId="0" fillId="2" borderId="1" xfId="0" applyFill="1" applyBorder="1"/>
    <xf numFmtId="0" fontId="0" fillId="0" borderId="19" xfId="0" applyBorder="1"/>
    <xf numFmtId="4" fontId="16" fillId="2" borderId="37" xfId="2" applyNumberFormat="1" applyFont="1" applyFill="1" applyBorder="1"/>
    <xf numFmtId="4" fontId="16" fillId="2" borderId="13" xfId="2" applyNumberFormat="1" applyFont="1" applyFill="1" applyBorder="1"/>
    <xf numFmtId="4" fontId="16" fillId="2" borderId="0" xfId="2" applyNumberFormat="1" applyFont="1" applyFill="1"/>
    <xf numFmtId="0" fontId="42" fillId="0" borderId="35" xfId="0" applyFont="1" applyBorder="1" applyAlignment="1">
      <alignment horizontal="center" wrapText="1"/>
    </xf>
    <xf numFmtId="0" fontId="43" fillId="0" borderId="0" xfId="0" applyFont="1" applyAlignment="1">
      <alignment horizontal="left" wrapText="1"/>
    </xf>
    <xf numFmtId="166" fontId="44" fillId="0" borderId="0" xfId="0" applyNumberFormat="1" applyFont="1" applyAlignment="1">
      <alignment wrapText="1"/>
    </xf>
    <xf numFmtId="166" fontId="44" fillId="0" borderId="0" xfId="0" applyNumberFormat="1" applyFont="1" applyAlignment="1">
      <alignment horizontal="right" wrapText="1"/>
    </xf>
    <xf numFmtId="167" fontId="43" fillId="0" borderId="15" xfId="0" applyNumberFormat="1" applyFont="1" applyBorder="1" applyAlignment="1">
      <alignment horizontal="right" wrapText="1"/>
    </xf>
    <xf numFmtId="166" fontId="15" fillId="2" borderId="0" xfId="0" applyNumberFormat="1" applyFont="1" applyFill="1" applyAlignment="1">
      <alignment horizontal="right" wrapText="1"/>
    </xf>
    <xf numFmtId="44" fontId="0" fillId="0" borderId="0" xfId="0" applyNumberFormat="1"/>
    <xf numFmtId="0" fontId="44" fillId="0" borderId="0" xfId="0" applyFont="1" applyAlignment="1">
      <alignment horizontal="left" wrapText="1"/>
    </xf>
    <xf numFmtId="0" fontId="44" fillId="0" borderId="0" xfId="0" applyFont="1" applyAlignment="1">
      <alignment horizontal="right" wrapText="1"/>
    </xf>
    <xf numFmtId="166" fontId="44" fillId="0" borderId="0" xfId="0" applyNumberFormat="1" applyFont="1" applyAlignment="1">
      <alignment horizontal="left" wrapText="1"/>
    </xf>
    <xf numFmtId="0" fontId="14" fillId="2" borderId="0" xfId="0" applyFont="1" applyFill="1" applyAlignment="1">
      <alignment horizontal="left" wrapText="1"/>
    </xf>
    <xf numFmtId="0" fontId="1" fillId="0" borderId="0" xfId="0" applyFont="1"/>
    <xf numFmtId="0" fontId="3" fillId="0" borderId="0" xfId="0" applyFont="1"/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2" fillId="0" borderId="0" xfId="0" applyFont="1"/>
    <xf numFmtId="0" fontId="0" fillId="0" borderId="1" xfId="0" applyBorder="1" applyAlignment="1">
      <alignment horizontal="left" indent="1"/>
    </xf>
    <xf numFmtId="0" fontId="4" fillId="0" borderId="0" xfId="0" applyFont="1"/>
    <xf numFmtId="0" fontId="4" fillId="0" borderId="1" xfId="0" applyFont="1" applyBorder="1"/>
    <xf numFmtId="4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10" fillId="0" borderId="0" xfId="0" applyFo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" fontId="10" fillId="0" borderId="41" xfId="0" applyNumberFormat="1" applyFont="1" applyBorder="1" applyAlignment="1">
      <alignment horizontal="center"/>
    </xf>
    <xf numFmtId="4" fontId="10" fillId="0" borderId="14" xfId="0" applyNumberFormat="1" applyFont="1" applyBorder="1" applyAlignment="1">
      <alignment horizontal="center"/>
    </xf>
    <xf numFmtId="0" fontId="6" fillId="0" borderId="16" xfId="0" applyFont="1" applyBorder="1"/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1" xfId="0" applyBorder="1" applyAlignment="1">
      <alignment horizontal="center"/>
    </xf>
    <xf numFmtId="14" fontId="10" fillId="0" borderId="0" xfId="0" applyNumberFormat="1" applyFont="1" applyAlignment="1">
      <alignment horizontal="center"/>
    </xf>
    <xf numFmtId="0" fontId="10" fillId="0" borderId="16" xfId="0" applyFont="1" applyBorder="1" applyAlignment="1">
      <alignment horizontal="center"/>
    </xf>
    <xf numFmtId="168" fontId="10" fillId="0" borderId="0" xfId="0" applyNumberFormat="1" applyFont="1" applyAlignment="1">
      <alignment horizontal="center"/>
    </xf>
    <xf numFmtId="0" fontId="5" fillId="0" borderId="17" xfId="0" applyFont="1" applyBorder="1"/>
    <xf numFmtId="0" fontId="5" fillId="0" borderId="18" xfId="0" applyFont="1" applyBorder="1" applyAlignment="1">
      <alignment horizontal="left" indent="1"/>
    </xf>
    <xf numFmtId="165" fontId="5" fillId="0" borderId="17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10" fillId="0" borderId="39" xfId="0" applyNumberFormat="1" applyFont="1" applyBorder="1" applyAlignment="1">
      <alignment horizontal="center"/>
    </xf>
    <xf numFmtId="4" fontId="10" fillId="0" borderId="20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2" fontId="10" fillId="0" borderId="0" xfId="0" applyNumberFormat="1" applyFont="1" applyAlignment="1">
      <alignment horizontal="center" wrapText="1"/>
    </xf>
    <xf numFmtId="168" fontId="10" fillId="0" borderId="0" xfId="0" applyNumberFormat="1" applyFont="1"/>
    <xf numFmtId="0" fontId="0" fillId="0" borderId="21" xfId="0" applyBorder="1"/>
    <xf numFmtId="0" fontId="0" fillId="0" borderId="22" xfId="0" applyBorder="1" applyAlignment="1">
      <alignment horizontal="left" indent="1"/>
    </xf>
    <xf numFmtId="0" fontId="0" fillId="0" borderId="16" xfId="0" applyBorder="1"/>
    <xf numFmtId="164" fontId="0" fillId="0" borderId="21" xfId="0" applyNumberFormat="1" applyBorder="1"/>
    <xf numFmtId="164" fontId="0" fillId="0" borderId="23" xfId="0" applyNumberFormat="1" applyBorder="1"/>
    <xf numFmtId="164" fontId="0" fillId="0" borderId="35" xfId="0" applyNumberFormat="1" applyBorder="1"/>
    <xf numFmtId="4" fontId="0" fillId="0" borderId="16" xfId="0" applyNumberFormat="1" applyBorder="1" applyAlignment="1">
      <alignment horizontal="right"/>
    </xf>
    <xf numFmtId="4" fontId="0" fillId="0" borderId="45" xfId="0" applyNumberFormat="1" applyBorder="1" applyAlignment="1">
      <alignment horizontal="right"/>
    </xf>
    <xf numFmtId="4" fontId="0" fillId="0" borderId="23" xfId="0" applyNumberFormat="1" applyBorder="1"/>
    <xf numFmtId="164" fontId="0" fillId="0" borderId="0" xfId="0" applyNumberFormat="1"/>
    <xf numFmtId="4" fontId="0" fillId="0" borderId="24" xfId="0" applyNumberFormat="1" applyBorder="1"/>
    <xf numFmtId="4" fontId="10" fillId="0" borderId="16" xfId="0" applyNumberFormat="1" applyFont="1" applyBorder="1"/>
    <xf numFmtId="0" fontId="0" fillId="0" borderId="25" xfId="0" applyBorder="1"/>
    <xf numFmtId="0" fontId="0" fillId="0" borderId="26" xfId="0" applyBorder="1" applyAlignment="1">
      <alignment horizontal="left" indent="1"/>
    </xf>
    <xf numFmtId="164" fontId="0" fillId="0" borderId="25" xfId="0" applyNumberFormat="1" applyBorder="1"/>
    <xf numFmtId="164" fontId="0" fillId="0" borderId="16" xfId="0" applyNumberFormat="1" applyBorder="1"/>
    <xf numFmtId="164" fontId="0" fillId="0" borderId="40" xfId="0" applyNumberFormat="1" applyBorder="1"/>
    <xf numFmtId="4" fontId="0" fillId="0" borderId="34" xfId="0" applyNumberFormat="1" applyBorder="1" applyAlignment="1">
      <alignment horizontal="right"/>
    </xf>
    <xf numFmtId="4" fontId="0" fillId="0" borderId="16" xfId="0" applyNumberFormat="1" applyBorder="1"/>
    <xf numFmtId="4" fontId="10" fillId="0" borderId="16" xfId="0" applyNumberFormat="1" applyFont="1" applyBorder="1" applyAlignment="1">
      <alignment horizontal="right"/>
    </xf>
    <xf numFmtId="4" fontId="10" fillId="0" borderId="34" xfId="0" applyNumberFormat="1" applyFont="1" applyBorder="1" applyAlignment="1">
      <alignment horizontal="right"/>
    </xf>
    <xf numFmtId="0" fontId="10" fillId="0" borderId="25" xfId="0" applyFont="1" applyBorder="1"/>
    <xf numFmtId="0" fontId="10" fillId="0" borderId="26" xfId="0" applyFont="1" applyBorder="1" applyAlignment="1">
      <alignment horizontal="left" indent="1"/>
    </xf>
    <xf numFmtId="0" fontId="10" fillId="0" borderId="16" xfId="0" applyFont="1" applyBorder="1"/>
    <xf numFmtId="164" fontId="10" fillId="0" borderId="25" xfId="0" applyNumberFormat="1" applyFont="1" applyBorder="1"/>
    <xf numFmtId="164" fontId="10" fillId="0" borderId="16" xfId="0" applyNumberFormat="1" applyFont="1" applyBorder="1"/>
    <xf numFmtId="164" fontId="10" fillId="0" borderId="40" xfId="0" applyNumberFormat="1" applyFont="1" applyBorder="1"/>
    <xf numFmtId="164" fontId="10" fillId="0" borderId="0" xfId="0" applyNumberFormat="1" applyFont="1"/>
    <xf numFmtId="166" fontId="31" fillId="0" borderId="0" xfId="0" applyNumberFormat="1" applyFont="1" applyAlignment="1">
      <alignment horizontal="right" wrapText="1"/>
    </xf>
    <xf numFmtId="4" fontId="10" fillId="0" borderId="24" xfId="0" applyNumberFormat="1" applyFont="1" applyBorder="1"/>
    <xf numFmtId="0" fontId="0" fillId="0" borderId="27" xfId="0" applyBorder="1"/>
    <xf numFmtId="0" fontId="0" fillId="0" borderId="28" xfId="0" applyBorder="1" applyAlignment="1">
      <alignment horizontal="left" indent="1"/>
    </xf>
    <xf numFmtId="0" fontId="0" fillId="0" borderId="27" xfId="0" applyBorder="1" applyAlignment="1">
      <alignment horizontal="right" indent="1"/>
    </xf>
    <xf numFmtId="164" fontId="0" fillId="0" borderId="27" xfId="0" applyNumberFormat="1" applyBorder="1"/>
    <xf numFmtId="164" fontId="0" fillId="0" borderId="15" xfId="0" applyNumberFormat="1" applyBorder="1"/>
    <xf numFmtId="4" fontId="0" fillId="0" borderId="46" xfId="0" applyNumberFormat="1" applyBorder="1" applyAlignment="1">
      <alignment horizontal="right"/>
    </xf>
    <xf numFmtId="4" fontId="0" fillId="0" borderId="29" xfId="0" applyNumberFormat="1" applyBorder="1"/>
    <xf numFmtId="0" fontId="0" fillId="0" borderId="15" xfId="0" applyBorder="1"/>
    <xf numFmtId="0" fontId="0" fillId="0" borderId="12" xfId="0" applyBorder="1" applyAlignment="1">
      <alignment horizontal="left" indent="1"/>
    </xf>
    <xf numFmtId="0" fontId="0" fillId="0" borderId="29" xfId="0" applyBorder="1"/>
    <xf numFmtId="4" fontId="10" fillId="0" borderId="23" xfId="0" applyNumberFormat="1" applyFont="1" applyBorder="1"/>
    <xf numFmtId="0" fontId="6" fillId="0" borderId="30" xfId="0" applyFont="1" applyBorder="1"/>
    <xf numFmtId="0" fontId="6" fillId="0" borderId="31" xfId="0" applyFont="1" applyBorder="1" applyAlignment="1">
      <alignment horizontal="left" indent="1"/>
    </xf>
    <xf numFmtId="0" fontId="6" fillId="0" borderId="30" xfId="0" applyFont="1" applyBorder="1" applyAlignment="1">
      <alignment horizontal="right" indent="1"/>
    </xf>
    <xf numFmtId="8" fontId="6" fillId="0" borderId="33" xfId="0" applyNumberFormat="1" applyFont="1" applyBorder="1"/>
    <xf numFmtId="8" fontId="6" fillId="0" borderId="2" xfId="0" applyNumberFormat="1" applyFont="1" applyBorder="1"/>
    <xf numFmtId="4" fontId="6" fillId="0" borderId="19" xfId="0" applyNumberFormat="1" applyFont="1" applyBorder="1" applyAlignment="1">
      <alignment horizontal="right"/>
    </xf>
    <xf numFmtId="4" fontId="6" fillId="0" borderId="30" xfId="0" applyNumberFormat="1" applyFont="1" applyBorder="1" applyAlignment="1">
      <alignment horizontal="right"/>
    </xf>
    <xf numFmtId="4" fontId="6" fillId="0" borderId="33" xfId="0" applyNumberFormat="1" applyFont="1" applyBorder="1"/>
    <xf numFmtId="8" fontId="6" fillId="0" borderId="0" xfId="0" applyNumberFormat="1" applyFont="1"/>
    <xf numFmtId="4" fontId="6" fillId="0" borderId="32" xfId="0" applyNumberFormat="1" applyFont="1" applyBorder="1"/>
    <xf numFmtId="4" fontId="0" fillId="0" borderId="8" xfId="0" applyNumberFormat="1" applyBorder="1"/>
    <xf numFmtId="4" fontId="0" fillId="0" borderId="39" xfId="0" applyNumberFormat="1" applyBorder="1"/>
    <xf numFmtId="0" fontId="6" fillId="0" borderId="0" xfId="0" applyFont="1"/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right" indent="1"/>
    </xf>
    <xf numFmtId="4" fontId="6" fillId="0" borderId="0" xfId="0" applyNumberFormat="1" applyFont="1" applyAlignment="1">
      <alignment horizontal="right"/>
    </xf>
    <xf numFmtId="4" fontId="6" fillId="0" borderId="0" xfId="0" applyNumberFormat="1" applyFont="1"/>
    <xf numFmtId="4" fontId="17" fillId="0" borderId="0" xfId="0" applyNumberFormat="1" applyFont="1" applyAlignment="1">
      <alignment wrapText="1"/>
    </xf>
    <xf numFmtId="0" fontId="0" fillId="0" borderId="0" xfId="0" applyAlignment="1">
      <alignment horizontal="left" indent="1"/>
    </xf>
    <xf numFmtId="4" fontId="0" fillId="0" borderId="0" xfId="0" applyNumberFormat="1" applyAlignment="1">
      <alignment horizontal="right"/>
    </xf>
    <xf numFmtId="7" fontId="0" fillId="0" borderId="0" xfId="0" applyNumberFormat="1"/>
    <xf numFmtId="4" fontId="6" fillId="0" borderId="10" xfId="0" applyNumberFormat="1" applyFont="1" applyBorder="1"/>
    <xf numFmtId="8" fontId="6" fillId="0" borderId="3" xfId="0" applyNumberFormat="1" applyFont="1" applyBorder="1"/>
    <xf numFmtId="8" fontId="6" fillId="0" borderId="6" xfId="0" applyNumberFormat="1" applyFont="1" applyBorder="1"/>
    <xf numFmtId="0" fontId="0" fillId="0" borderId="37" xfId="0" applyBorder="1"/>
    <xf numFmtId="4" fontId="0" fillId="0" borderId="13" xfId="0" applyNumberFormat="1" applyBorder="1"/>
    <xf numFmtId="8" fontId="0" fillId="0" borderId="47" xfId="0" applyNumberFormat="1" applyBorder="1"/>
    <xf numFmtId="0" fontId="0" fillId="0" borderId="36" xfId="0" applyBorder="1"/>
    <xf numFmtId="4" fontId="0" fillId="0" borderId="19" xfId="0" applyNumberFormat="1" applyBorder="1"/>
    <xf numFmtId="4" fontId="10" fillId="6" borderId="0" xfId="0" applyNumberFormat="1" applyFont="1" applyFill="1"/>
    <xf numFmtId="4" fontId="0" fillId="6" borderId="13" xfId="0" applyNumberFormat="1" applyFill="1" applyBorder="1"/>
    <xf numFmtId="4" fontId="0" fillId="0" borderId="37" xfId="0" applyNumberFormat="1" applyBorder="1"/>
    <xf numFmtId="4" fontId="0" fillId="0" borderId="38" xfId="0" applyNumberFormat="1" applyBorder="1"/>
    <xf numFmtId="0" fontId="10" fillId="2" borderId="25" xfId="0" applyFont="1" applyFill="1" applyBorder="1"/>
    <xf numFmtId="0" fontId="10" fillId="2" borderId="26" xfId="0" applyFont="1" applyFill="1" applyBorder="1" applyAlignment="1">
      <alignment horizontal="left" indent="1"/>
    </xf>
    <xf numFmtId="0" fontId="10" fillId="2" borderId="16" xfId="0" applyFont="1" applyFill="1" applyBorder="1"/>
    <xf numFmtId="7" fontId="9" fillId="2" borderId="16" xfId="4" applyNumberFormat="1" applyFont="1" applyFill="1" applyBorder="1"/>
    <xf numFmtId="164" fontId="10" fillId="2" borderId="25" xfId="0" applyNumberFormat="1" applyFont="1" applyFill="1" applyBorder="1"/>
    <xf numFmtId="164" fontId="10" fillId="2" borderId="16" xfId="0" applyNumberFormat="1" applyFont="1" applyFill="1" applyBorder="1"/>
    <xf numFmtId="164" fontId="10" fillId="2" borderId="40" xfId="0" applyNumberFormat="1" applyFont="1" applyFill="1" applyBorder="1"/>
    <xf numFmtId="4" fontId="10" fillId="2" borderId="16" xfId="0" applyNumberFormat="1" applyFont="1" applyFill="1" applyBorder="1" applyAlignment="1">
      <alignment horizontal="right"/>
    </xf>
    <xf numFmtId="4" fontId="10" fillId="2" borderId="34" xfId="0" applyNumberFormat="1" applyFont="1" applyFill="1" applyBorder="1" applyAlignment="1">
      <alignment horizontal="right"/>
    </xf>
    <xf numFmtId="4" fontId="10" fillId="2" borderId="16" xfId="0" applyNumberFormat="1" applyFont="1" applyFill="1" applyBorder="1"/>
    <xf numFmtId="164" fontId="10" fillId="2" borderId="0" xfId="0" applyNumberFormat="1" applyFont="1" applyFill="1"/>
    <xf numFmtId="4" fontId="10" fillId="2" borderId="24" xfId="0" applyNumberFormat="1" applyFont="1" applyFill="1" applyBorder="1"/>
    <xf numFmtId="4" fontId="10" fillId="2" borderId="0" xfId="0" applyNumberFormat="1" applyFont="1" applyFill="1"/>
    <xf numFmtId="0" fontId="10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44" fontId="0" fillId="2" borderId="0" xfId="4" applyFont="1" applyFill="1" applyAlignment="1"/>
    <xf numFmtId="44" fontId="0" fillId="2" borderId="0" xfId="4" applyFont="1" applyFill="1" applyAlignment="1">
      <alignment horizontal="center"/>
    </xf>
    <xf numFmtId="44" fontId="0" fillId="2" borderId="0" xfId="4" applyFont="1" applyFill="1"/>
    <xf numFmtId="0" fontId="0" fillId="2" borderId="25" xfId="0" applyFill="1" applyBorder="1"/>
    <xf numFmtId="0" fontId="0" fillId="2" borderId="26" xfId="0" applyFill="1" applyBorder="1" applyAlignment="1">
      <alignment horizontal="left" indent="1"/>
    </xf>
    <xf numFmtId="0" fontId="0" fillId="2" borderId="16" xfId="0" applyFill="1" applyBorder="1"/>
    <xf numFmtId="164" fontId="0" fillId="2" borderId="25" xfId="0" applyNumberFormat="1" applyFill="1" applyBorder="1"/>
    <xf numFmtId="164" fontId="0" fillId="2" borderId="16" xfId="0" applyNumberFormat="1" applyFill="1" applyBorder="1"/>
    <xf numFmtId="164" fontId="0" fillId="2" borderId="40" xfId="0" applyNumberFormat="1" applyFill="1" applyBorder="1"/>
    <xf numFmtId="4" fontId="0" fillId="2" borderId="16" xfId="0" applyNumberFormat="1" applyFill="1" applyBorder="1" applyAlignment="1">
      <alignment horizontal="right"/>
    </xf>
    <xf numFmtId="4" fontId="0" fillId="2" borderId="34" xfId="0" applyNumberFormat="1" applyFill="1" applyBorder="1" applyAlignment="1">
      <alignment horizontal="right"/>
    </xf>
    <xf numFmtId="4" fontId="0" fillId="2" borderId="16" xfId="0" applyNumberFormat="1" applyFill="1" applyBorder="1"/>
    <xf numFmtId="164" fontId="0" fillId="2" borderId="0" xfId="0" applyNumberFormat="1" applyFill="1"/>
    <xf numFmtId="4" fontId="0" fillId="2" borderId="24" xfId="0" applyNumberFormat="1" applyFill="1" applyBorder="1"/>
    <xf numFmtId="7" fontId="10" fillId="2" borderId="16" xfId="4" applyNumberFormat="1" applyFont="1" applyFill="1" applyBorder="1"/>
    <xf numFmtId="0" fontId="0" fillId="5" borderId="25" xfId="0" applyFill="1" applyBorder="1"/>
    <xf numFmtId="0" fontId="0" fillId="5" borderId="26" xfId="0" applyFill="1" applyBorder="1" applyAlignment="1">
      <alignment horizontal="left" indent="1"/>
    </xf>
    <xf numFmtId="0" fontId="0" fillId="5" borderId="16" xfId="0" applyFill="1" applyBorder="1"/>
    <xf numFmtId="7" fontId="9" fillId="5" borderId="16" xfId="4" applyNumberFormat="1" applyFont="1" applyFill="1" applyBorder="1"/>
    <xf numFmtId="164" fontId="0" fillId="5" borderId="25" xfId="0" applyNumberFormat="1" applyFill="1" applyBorder="1"/>
    <xf numFmtId="164" fontId="0" fillId="5" borderId="16" xfId="0" applyNumberFormat="1" applyFill="1" applyBorder="1"/>
    <xf numFmtId="164" fontId="0" fillId="5" borderId="40" xfId="0" applyNumberFormat="1" applyFill="1" applyBorder="1"/>
    <xf numFmtId="4" fontId="0" fillId="5" borderId="16" xfId="0" applyNumberFormat="1" applyFill="1" applyBorder="1" applyAlignment="1">
      <alignment horizontal="right"/>
    </xf>
    <xf numFmtId="4" fontId="0" fillId="5" borderId="34" xfId="0" applyNumberFormat="1" applyFill="1" applyBorder="1" applyAlignment="1">
      <alignment horizontal="right"/>
    </xf>
    <xf numFmtId="4" fontId="0" fillId="5" borderId="16" xfId="0" applyNumberFormat="1" applyFill="1" applyBorder="1"/>
    <xf numFmtId="164" fontId="0" fillId="5" borderId="0" xfId="0" applyNumberFormat="1" applyFill="1"/>
    <xf numFmtId="4" fontId="0" fillId="5" borderId="24" xfId="0" applyNumberFormat="1" applyFill="1" applyBorder="1"/>
    <xf numFmtId="4" fontId="0" fillId="5" borderId="0" xfId="0" applyNumberFormat="1" applyFill="1"/>
    <xf numFmtId="4" fontId="10" fillId="5" borderId="16" xfId="0" applyNumberFormat="1" applyFont="1" applyFill="1" applyBorder="1"/>
    <xf numFmtId="0" fontId="0" fillId="5" borderId="0" xfId="0" applyFill="1" applyAlignment="1">
      <alignment horizontal="center"/>
    </xf>
    <xf numFmtId="44" fontId="0" fillId="5" borderId="0" xfId="4" applyFont="1" applyFill="1" applyAlignment="1"/>
    <xf numFmtId="44" fontId="0" fillId="5" borderId="0" xfId="4" applyFont="1" applyFill="1" applyAlignment="1">
      <alignment horizontal="center"/>
    </xf>
    <xf numFmtId="44" fontId="0" fillId="5" borderId="0" xfId="4" applyFont="1" applyFill="1"/>
    <xf numFmtId="0" fontId="10" fillId="5" borderId="25" xfId="0" applyFont="1" applyFill="1" applyBorder="1"/>
    <xf numFmtId="0" fontId="10" fillId="5" borderId="26" xfId="0" applyFont="1" applyFill="1" applyBorder="1" applyAlignment="1">
      <alignment horizontal="left" indent="1"/>
    </xf>
    <xf numFmtId="0" fontId="10" fillId="5" borderId="16" xfId="0" applyFont="1" applyFill="1" applyBorder="1"/>
    <xf numFmtId="164" fontId="10" fillId="5" borderId="25" xfId="0" applyNumberFormat="1" applyFont="1" applyFill="1" applyBorder="1"/>
    <xf numFmtId="164" fontId="10" fillId="5" borderId="16" xfId="0" applyNumberFormat="1" applyFont="1" applyFill="1" applyBorder="1"/>
    <xf numFmtId="164" fontId="10" fillId="5" borderId="40" xfId="0" applyNumberFormat="1" applyFont="1" applyFill="1" applyBorder="1"/>
    <xf numFmtId="4" fontId="10" fillId="5" borderId="16" xfId="0" applyNumberFormat="1" applyFont="1" applyFill="1" applyBorder="1" applyAlignment="1">
      <alignment horizontal="right"/>
    </xf>
    <xf numFmtId="4" fontId="10" fillId="5" borderId="34" xfId="0" applyNumberFormat="1" applyFont="1" applyFill="1" applyBorder="1" applyAlignment="1">
      <alignment horizontal="right"/>
    </xf>
    <xf numFmtId="164" fontId="10" fillId="5" borderId="0" xfId="0" applyNumberFormat="1" applyFont="1" applyFill="1"/>
    <xf numFmtId="4" fontId="10" fillId="5" borderId="24" xfId="0" applyNumberFormat="1" applyFont="1" applyFill="1" applyBorder="1"/>
    <xf numFmtId="4" fontId="10" fillId="5" borderId="0" xfId="0" applyNumberFormat="1" applyFont="1" applyFill="1"/>
    <xf numFmtId="0" fontId="10" fillId="5" borderId="0" xfId="0" applyFont="1" applyFill="1"/>
    <xf numFmtId="0" fontId="44" fillId="0" borderId="0" xfId="0" quotePrefix="1" applyFont="1" applyAlignment="1">
      <alignment horizontal="left" wrapText="1"/>
    </xf>
    <xf numFmtId="4" fontId="15" fillId="0" borderId="0" xfId="0" applyNumberFormat="1" applyFont="1" applyAlignment="1">
      <alignment horizontal="right" wrapText="1"/>
    </xf>
    <xf numFmtId="166" fontId="27" fillId="0" borderId="0" xfId="0" applyNumberFormat="1" applyFont="1" applyAlignment="1">
      <alignment horizontal="right" wrapText="1"/>
    </xf>
    <xf numFmtId="4" fontId="33" fillId="0" borderId="0" xfId="0" applyNumberFormat="1" applyFont="1"/>
    <xf numFmtId="166" fontId="22" fillId="0" borderId="0" xfId="0" applyNumberFormat="1" applyFont="1" applyAlignment="1">
      <alignment horizontal="right" wrapText="1"/>
    </xf>
    <xf numFmtId="167" fontId="37" fillId="0" borderId="15" xfId="0" applyNumberFormat="1" applyFont="1" applyBorder="1" applyAlignment="1">
      <alignment horizontal="right" wrapText="1"/>
    </xf>
    <xf numFmtId="4" fontId="15" fillId="0" borderId="0" xfId="0" applyNumberFormat="1" applyFont="1" applyAlignment="1">
      <alignment wrapText="1"/>
    </xf>
    <xf numFmtId="4" fontId="15" fillId="0" borderId="16" xfId="0" applyNumberFormat="1" applyFont="1" applyBorder="1" applyAlignment="1">
      <alignment wrapText="1"/>
    </xf>
    <xf numFmtId="166" fontId="37" fillId="0" borderId="1" xfId="0" applyNumberFormat="1" applyFont="1" applyBorder="1" applyAlignment="1">
      <alignment wrapText="1"/>
    </xf>
    <xf numFmtId="4" fontId="34" fillId="0" borderId="0" xfId="0" applyNumberFormat="1" applyFont="1"/>
    <xf numFmtId="4" fontId="39" fillId="0" borderId="0" xfId="0" applyNumberFormat="1" applyFont="1"/>
    <xf numFmtId="4" fontId="0" fillId="0" borderId="35" xfId="0" applyNumberFormat="1" applyBorder="1"/>
    <xf numFmtId="4" fontId="34" fillId="0" borderId="42" xfId="0" applyNumberFormat="1" applyFont="1" applyBorder="1"/>
    <xf numFmtId="0" fontId="44" fillId="0" borderId="0" xfId="0" applyFont="1" applyAlignment="1">
      <alignment horizontal="center"/>
    </xf>
    <xf numFmtId="0" fontId="0" fillId="0" borderId="0" xfId="0"/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2" fillId="0" borderId="35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center"/>
    </xf>
    <xf numFmtId="17" fontId="13" fillId="0" borderId="0" xfId="0" applyNumberFormat="1" applyFont="1" applyAlignment="1">
      <alignment horizontal="center"/>
    </xf>
    <xf numFmtId="0" fontId="16" fillId="0" borderId="26" xfId="2" applyFont="1" applyBorder="1" applyAlignment="1">
      <alignment horizontal="center"/>
    </xf>
    <xf numFmtId="0" fontId="16" fillId="0" borderId="40" xfId="2" applyFont="1" applyBorder="1" applyAlignment="1">
      <alignment horizontal="center"/>
    </xf>
    <xf numFmtId="0" fontId="16" fillId="0" borderId="15" xfId="2" applyFont="1" applyBorder="1" applyAlignment="1">
      <alignment horizontal="center"/>
    </xf>
    <xf numFmtId="0" fontId="16" fillId="0" borderId="34" xfId="2" applyFont="1" applyBorder="1" applyAlignment="1">
      <alignment horizontal="center"/>
    </xf>
    <xf numFmtId="4" fontId="14" fillId="4" borderId="43" xfId="2" applyNumberFormat="1" applyFont="1" applyFill="1" applyBorder="1" applyAlignment="1">
      <alignment horizontal="center" wrapText="1"/>
    </xf>
    <xf numFmtId="0" fontId="0" fillId="4" borderId="32" xfId="0" applyFill="1" applyBorder="1" applyAlignment="1">
      <alignment horizontal="center"/>
    </xf>
    <xf numFmtId="4" fontId="14" fillId="0" borderId="43" xfId="2" applyNumberFormat="1" applyFont="1" applyBorder="1" applyAlignment="1">
      <alignment horizontal="center"/>
    </xf>
    <xf numFmtId="0" fontId="0" fillId="0" borderId="32" xfId="0" applyBorder="1"/>
    <xf numFmtId="4" fontId="14" fillId="3" borderId="37" xfId="2" applyNumberFormat="1" applyFont="1" applyFill="1" applyBorder="1" applyAlignment="1">
      <alignment horizontal="center"/>
    </xf>
    <xf numFmtId="0" fontId="0" fillId="3" borderId="13" xfId="0" applyFill="1" applyBorder="1"/>
    <xf numFmtId="0" fontId="5" fillId="0" borderId="4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4" fontId="5" fillId="0" borderId="0" xfId="0" applyNumberFormat="1" applyFont="1" applyAlignment="1">
      <alignment horizontal="center" wrapText="1"/>
    </xf>
    <xf numFmtId="4" fontId="10" fillId="0" borderId="0" xfId="0" applyNumberFormat="1" applyFont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2" fillId="0" borderId="0" xfId="0" applyFont="1" applyAlignment="1">
      <alignment horizontal="center"/>
    </xf>
    <xf numFmtId="4" fontId="5" fillId="0" borderId="43" xfId="0" applyNumberFormat="1" applyFont="1" applyBorder="1" applyAlignment="1">
      <alignment horizontal="center"/>
    </xf>
    <xf numFmtId="4" fontId="10" fillId="0" borderId="2" xfId="0" applyNumberFormat="1" applyFont="1" applyBorder="1" applyAlignment="1">
      <alignment horizontal="center"/>
    </xf>
    <xf numFmtId="4" fontId="10" fillId="0" borderId="32" xfId="0" applyNumberFormat="1" applyFont="1" applyBorder="1" applyAlignment="1">
      <alignment horizontal="center"/>
    </xf>
  </cellXfs>
  <cellStyles count="6">
    <cellStyle name="Currency" xfId="4" builtinId="4"/>
    <cellStyle name="Currency 2" xfId="1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jorie Case" id="{7FC54A06-6147-410C-ADF0-0C326E4171E0}" userId="eb79fc0dc0c04cb0" providerId="Windows Liv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T55" dT="2025-01-06T18:11:30.93" personId="{7FC54A06-6147-410C-ADF0-0C326E4171E0}" id="{4F5A106E-B23C-4C76-B262-C3A7BA2863FB}">
    <text>Pd in 2024 for 2025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M150" dT="2024-08-07T14:40:42.29" personId="{7FC54A06-6147-410C-ADF0-0C326E4171E0}" id="{377E24D1-354D-4CEE-A9C8-FF05C941E084}">
    <text>Dbl pfl</text>
  </threadedComment>
</ThreadedComment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1.xml"/></Relationships>
</file>

<file path=xl/worksheets/_rels/sheet1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8E543-6117-4C93-917B-5C205E92CBA9}">
  <dimension ref="A1:M159"/>
  <sheetViews>
    <sheetView tabSelected="1" workbookViewId="0">
      <selection activeCell="A2" sqref="A2"/>
    </sheetView>
  </sheetViews>
  <sheetFormatPr baseColWidth="10" defaultColWidth="8.83203125" defaultRowHeight="15" x14ac:dyDescent="0.2"/>
  <sheetData>
    <row r="1" spans="1:13" x14ac:dyDescent="0.2">
      <c r="A1" t="s">
        <v>64</v>
      </c>
    </row>
    <row r="2" spans="1:13" x14ac:dyDescent="0.2">
      <c r="A2" t="s">
        <v>2062</v>
      </c>
    </row>
    <row r="4" spans="1:13" x14ac:dyDescent="0.2">
      <c r="A4" s="84" t="s">
        <v>2063</v>
      </c>
    </row>
    <row r="6" spans="1:13" x14ac:dyDescent="0.2">
      <c r="A6" s="84">
        <v>1</v>
      </c>
      <c r="B6" t="s">
        <v>551</v>
      </c>
    </row>
    <row r="7" spans="1:13" x14ac:dyDescent="0.2">
      <c r="A7" s="275">
        <v>2</v>
      </c>
      <c r="B7" s="274" t="s">
        <v>2064</v>
      </c>
      <c r="C7" s="274"/>
      <c r="D7" s="274"/>
      <c r="E7" s="274"/>
      <c r="F7" s="274"/>
      <c r="G7" s="274"/>
      <c r="H7" s="274"/>
      <c r="I7" s="274" t="s">
        <v>2684</v>
      </c>
      <c r="J7" s="274"/>
      <c r="K7" s="274"/>
      <c r="L7" s="274"/>
      <c r="M7" s="274"/>
    </row>
    <row r="8" spans="1:13" x14ac:dyDescent="0.2">
      <c r="A8" s="275" t="s">
        <v>2734</v>
      </c>
      <c r="B8" s="274" t="s">
        <v>2733</v>
      </c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</row>
    <row r="9" spans="1:13" x14ac:dyDescent="0.2">
      <c r="A9" s="84">
        <v>3</v>
      </c>
      <c r="B9" t="s">
        <v>2065</v>
      </c>
      <c r="F9" t="s">
        <v>2066</v>
      </c>
    </row>
    <row r="10" spans="1:13" x14ac:dyDescent="0.2">
      <c r="A10" s="84">
        <v>4</v>
      </c>
      <c r="B10" t="s">
        <v>2067</v>
      </c>
      <c r="E10" t="s">
        <v>2068</v>
      </c>
      <c r="F10" t="s">
        <v>2066</v>
      </c>
    </row>
    <row r="11" spans="1:13" x14ac:dyDescent="0.2">
      <c r="A11" s="84">
        <v>5</v>
      </c>
      <c r="B11" t="s">
        <v>2069</v>
      </c>
      <c r="D11" t="s">
        <v>2070</v>
      </c>
    </row>
    <row r="12" spans="1:13" x14ac:dyDescent="0.2">
      <c r="A12" s="84"/>
    </row>
    <row r="13" spans="1:13" x14ac:dyDescent="0.2">
      <c r="A13" s="84"/>
      <c r="E13" t="s">
        <v>5</v>
      </c>
    </row>
    <row r="14" spans="1:13" x14ac:dyDescent="0.2">
      <c r="A14" s="84"/>
      <c r="E14" t="s">
        <v>6</v>
      </c>
    </row>
    <row r="15" spans="1:13" x14ac:dyDescent="0.2">
      <c r="A15" s="84"/>
      <c r="E15" t="s">
        <v>7</v>
      </c>
    </row>
    <row r="16" spans="1:13" x14ac:dyDescent="0.2">
      <c r="A16" s="84"/>
      <c r="E16" t="s">
        <v>722</v>
      </c>
    </row>
    <row r="17" spans="1:4" x14ac:dyDescent="0.2">
      <c r="A17" s="84"/>
    </row>
    <row r="18" spans="1:4" x14ac:dyDescent="0.2">
      <c r="A18" s="84" t="s">
        <v>2071</v>
      </c>
      <c r="B18" t="s">
        <v>2072</v>
      </c>
    </row>
    <row r="19" spans="1:4" x14ac:dyDescent="0.2">
      <c r="A19" s="84"/>
    </row>
    <row r="20" spans="1:4" x14ac:dyDescent="0.2">
      <c r="A20" s="84">
        <v>7</v>
      </c>
      <c r="B20" t="s">
        <v>2073</v>
      </c>
      <c r="D20" t="s">
        <v>2074</v>
      </c>
    </row>
    <row r="21" spans="1:4" x14ac:dyDescent="0.2">
      <c r="A21" s="84"/>
    </row>
    <row r="22" spans="1:4" x14ac:dyDescent="0.2">
      <c r="A22" s="84">
        <v>8</v>
      </c>
      <c r="B22" t="s">
        <v>2075</v>
      </c>
      <c r="D22" t="s">
        <v>2076</v>
      </c>
    </row>
    <row r="23" spans="1:4" x14ac:dyDescent="0.2">
      <c r="A23" s="84">
        <v>8.5</v>
      </c>
      <c r="B23" t="s">
        <v>2476</v>
      </c>
    </row>
    <row r="24" spans="1:4" x14ac:dyDescent="0.2">
      <c r="A24" s="84"/>
    </row>
    <row r="25" spans="1:4" x14ac:dyDescent="0.2">
      <c r="A25" s="84">
        <v>9</v>
      </c>
      <c r="B25" t="s">
        <v>2077</v>
      </c>
      <c r="D25" t="s">
        <v>2078</v>
      </c>
    </row>
    <row r="26" spans="1:4" x14ac:dyDescent="0.2">
      <c r="A26" s="84"/>
    </row>
    <row r="27" spans="1:4" x14ac:dyDescent="0.2">
      <c r="A27" s="84">
        <v>10</v>
      </c>
      <c r="B27" t="s">
        <v>2079</v>
      </c>
      <c r="D27" t="s">
        <v>2080</v>
      </c>
    </row>
    <row r="28" spans="1:4" x14ac:dyDescent="0.2">
      <c r="A28" s="84"/>
    </row>
    <row r="29" spans="1:4" x14ac:dyDescent="0.2">
      <c r="A29" s="84">
        <v>11</v>
      </c>
      <c r="B29" t="s">
        <v>722</v>
      </c>
      <c r="D29" t="s">
        <v>2080</v>
      </c>
    </row>
    <row r="30" spans="1:4" x14ac:dyDescent="0.2">
      <c r="A30" s="84"/>
    </row>
    <row r="31" spans="1:4" x14ac:dyDescent="0.2">
      <c r="A31" s="84">
        <v>12</v>
      </c>
      <c r="B31" t="s">
        <v>6</v>
      </c>
      <c r="D31" t="s">
        <v>2080</v>
      </c>
    </row>
    <row r="32" spans="1:4" x14ac:dyDescent="0.2">
      <c r="A32" s="84"/>
    </row>
    <row r="33" spans="1:4" x14ac:dyDescent="0.2">
      <c r="A33" s="84">
        <v>13</v>
      </c>
      <c r="B33" t="s">
        <v>5</v>
      </c>
      <c r="D33" t="s">
        <v>2080</v>
      </c>
    </row>
    <row r="34" spans="1:4" x14ac:dyDescent="0.2">
      <c r="A34" s="84"/>
    </row>
    <row r="35" spans="1:4" x14ac:dyDescent="0.2">
      <c r="A35" s="84"/>
    </row>
    <row r="36" spans="1:4" x14ac:dyDescent="0.2">
      <c r="A36" s="84"/>
    </row>
    <row r="37" spans="1:4" x14ac:dyDescent="0.2">
      <c r="A37" s="84"/>
    </row>
    <row r="38" spans="1:4" x14ac:dyDescent="0.2">
      <c r="A38" s="84"/>
    </row>
    <row r="39" spans="1:4" x14ac:dyDescent="0.2">
      <c r="A39" s="84"/>
    </row>
    <row r="40" spans="1:4" x14ac:dyDescent="0.2">
      <c r="A40" s="84"/>
    </row>
    <row r="41" spans="1:4" x14ac:dyDescent="0.2">
      <c r="A41" s="84"/>
    </row>
    <row r="42" spans="1:4" x14ac:dyDescent="0.2">
      <c r="A42" s="84"/>
    </row>
    <row r="43" spans="1:4" x14ac:dyDescent="0.2">
      <c r="A43" s="84"/>
    </row>
    <row r="44" spans="1:4" x14ac:dyDescent="0.2">
      <c r="A44" s="84"/>
    </row>
    <row r="45" spans="1:4" x14ac:dyDescent="0.2">
      <c r="A45" s="84"/>
    </row>
    <row r="46" spans="1:4" x14ac:dyDescent="0.2">
      <c r="A46" s="84"/>
    </row>
    <row r="47" spans="1:4" x14ac:dyDescent="0.2">
      <c r="A47" s="84"/>
    </row>
    <row r="48" spans="1:4" x14ac:dyDescent="0.2">
      <c r="A48" s="84"/>
    </row>
    <row r="49" spans="1:1" x14ac:dyDescent="0.2">
      <c r="A49" s="84"/>
    </row>
    <row r="50" spans="1:1" x14ac:dyDescent="0.2">
      <c r="A50" s="84"/>
    </row>
    <row r="51" spans="1:1" x14ac:dyDescent="0.2">
      <c r="A51" s="84"/>
    </row>
    <row r="52" spans="1:1" x14ac:dyDescent="0.2">
      <c r="A52" s="84"/>
    </row>
    <row r="53" spans="1:1" x14ac:dyDescent="0.2">
      <c r="A53" s="84"/>
    </row>
    <row r="54" spans="1:1" x14ac:dyDescent="0.2">
      <c r="A54" s="84"/>
    </row>
    <row r="55" spans="1:1" x14ac:dyDescent="0.2">
      <c r="A55" s="84"/>
    </row>
    <row r="56" spans="1:1" x14ac:dyDescent="0.2">
      <c r="A56" s="84"/>
    </row>
    <row r="57" spans="1:1" x14ac:dyDescent="0.2">
      <c r="A57" s="84"/>
    </row>
    <row r="58" spans="1:1" x14ac:dyDescent="0.2">
      <c r="A58" s="84"/>
    </row>
    <row r="59" spans="1:1" x14ac:dyDescent="0.2">
      <c r="A59" s="84"/>
    </row>
    <row r="60" spans="1:1" x14ac:dyDescent="0.2">
      <c r="A60" s="84"/>
    </row>
    <row r="61" spans="1:1" x14ac:dyDescent="0.2">
      <c r="A61" s="84"/>
    </row>
    <row r="62" spans="1:1" x14ac:dyDescent="0.2">
      <c r="A62" s="84"/>
    </row>
    <row r="63" spans="1:1" x14ac:dyDescent="0.2">
      <c r="A63" s="84"/>
    </row>
    <row r="64" spans="1:1" x14ac:dyDescent="0.2">
      <c r="A64" s="84"/>
    </row>
    <row r="65" spans="1:1" x14ac:dyDescent="0.2">
      <c r="A65" s="84"/>
    </row>
    <row r="66" spans="1:1" x14ac:dyDescent="0.2">
      <c r="A66" s="84"/>
    </row>
    <row r="67" spans="1:1" x14ac:dyDescent="0.2">
      <c r="A67" s="84"/>
    </row>
    <row r="68" spans="1:1" x14ac:dyDescent="0.2">
      <c r="A68" s="84"/>
    </row>
    <row r="69" spans="1:1" x14ac:dyDescent="0.2">
      <c r="A69" s="84"/>
    </row>
    <row r="70" spans="1:1" x14ac:dyDescent="0.2">
      <c r="A70" s="84"/>
    </row>
    <row r="71" spans="1:1" x14ac:dyDescent="0.2">
      <c r="A71" s="84"/>
    </row>
    <row r="72" spans="1:1" x14ac:dyDescent="0.2">
      <c r="A72" s="84"/>
    </row>
    <row r="73" spans="1:1" x14ac:dyDescent="0.2">
      <c r="A73" s="84"/>
    </row>
    <row r="74" spans="1:1" x14ac:dyDescent="0.2">
      <c r="A74" s="84"/>
    </row>
    <row r="75" spans="1:1" x14ac:dyDescent="0.2">
      <c r="A75" s="84"/>
    </row>
    <row r="76" spans="1:1" x14ac:dyDescent="0.2">
      <c r="A76" s="84"/>
    </row>
    <row r="77" spans="1:1" x14ac:dyDescent="0.2">
      <c r="A77" s="84"/>
    </row>
    <row r="78" spans="1:1" x14ac:dyDescent="0.2">
      <c r="A78" s="84"/>
    </row>
    <row r="79" spans="1:1" x14ac:dyDescent="0.2">
      <c r="A79" s="84"/>
    </row>
    <row r="80" spans="1:1" x14ac:dyDescent="0.2">
      <c r="A80" s="84"/>
    </row>
    <row r="81" spans="1:1" x14ac:dyDescent="0.2">
      <c r="A81" s="84"/>
    </row>
    <row r="82" spans="1:1" x14ac:dyDescent="0.2">
      <c r="A82" s="84"/>
    </row>
    <row r="83" spans="1:1" x14ac:dyDescent="0.2">
      <c r="A83" s="84"/>
    </row>
    <row r="84" spans="1:1" x14ac:dyDescent="0.2">
      <c r="A84" s="84"/>
    </row>
    <row r="85" spans="1:1" x14ac:dyDescent="0.2">
      <c r="A85" s="84"/>
    </row>
    <row r="86" spans="1:1" x14ac:dyDescent="0.2">
      <c r="A86" s="84"/>
    </row>
    <row r="87" spans="1:1" x14ac:dyDescent="0.2">
      <c r="A87" s="84"/>
    </row>
    <row r="88" spans="1:1" x14ac:dyDescent="0.2">
      <c r="A88" s="84"/>
    </row>
    <row r="89" spans="1:1" x14ac:dyDescent="0.2">
      <c r="A89" s="84"/>
    </row>
    <row r="90" spans="1:1" x14ac:dyDescent="0.2">
      <c r="A90" s="84"/>
    </row>
    <row r="91" spans="1:1" x14ac:dyDescent="0.2">
      <c r="A91" s="84"/>
    </row>
    <row r="92" spans="1:1" x14ac:dyDescent="0.2">
      <c r="A92" s="84"/>
    </row>
    <row r="93" spans="1:1" x14ac:dyDescent="0.2">
      <c r="A93" s="84"/>
    </row>
    <row r="94" spans="1:1" x14ac:dyDescent="0.2">
      <c r="A94" s="84"/>
    </row>
    <row r="95" spans="1:1" x14ac:dyDescent="0.2">
      <c r="A95" s="84"/>
    </row>
    <row r="96" spans="1:1" x14ac:dyDescent="0.2">
      <c r="A96" s="84"/>
    </row>
    <row r="97" spans="1:1" x14ac:dyDescent="0.2">
      <c r="A97" s="84"/>
    </row>
    <row r="98" spans="1:1" x14ac:dyDescent="0.2">
      <c r="A98" s="84"/>
    </row>
    <row r="99" spans="1:1" x14ac:dyDescent="0.2">
      <c r="A99" s="84"/>
    </row>
    <row r="100" spans="1:1" x14ac:dyDescent="0.2">
      <c r="A100" s="84"/>
    </row>
    <row r="101" spans="1:1" x14ac:dyDescent="0.2">
      <c r="A101" s="84"/>
    </row>
    <row r="102" spans="1:1" x14ac:dyDescent="0.2">
      <c r="A102" s="84"/>
    </row>
    <row r="103" spans="1:1" x14ac:dyDescent="0.2">
      <c r="A103" s="84"/>
    </row>
    <row r="104" spans="1:1" x14ac:dyDescent="0.2">
      <c r="A104" s="84"/>
    </row>
    <row r="105" spans="1:1" x14ac:dyDescent="0.2">
      <c r="A105" s="84"/>
    </row>
    <row r="106" spans="1:1" x14ac:dyDescent="0.2">
      <c r="A106" s="84"/>
    </row>
    <row r="107" spans="1:1" x14ac:dyDescent="0.2">
      <c r="A107" s="84"/>
    </row>
    <row r="108" spans="1:1" x14ac:dyDescent="0.2">
      <c r="A108" s="84"/>
    </row>
    <row r="109" spans="1:1" x14ac:dyDescent="0.2">
      <c r="A109" s="84"/>
    </row>
    <row r="110" spans="1:1" x14ac:dyDescent="0.2">
      <c r="A110" s="84"/>
    </row>
    <row r="111" spans="1:1" x14ac:dyDescent="0.2">
      <c r="A111" s="84"/>
    </row>
    <row r="112" spans="1:1" x14ac:dyDescent="0.2">
      <c r="A112" s="84"/>
    </row>
    <row r="113" spans="1:1" x14ac:dyDescent="0.2">
      <c r="A113" s="84"/>
    </row>
    <row r="114" spans="1:1" x14ac:dyDescent="0.2">
      <c r="A114" s="84"/>
    </row>
    <row r="115" spans="1:1" x14ac:dyDescent="0.2">
      <c r="A115" s="84"/>
    </row>
    <row r="116" spans="1:1" x14ac:dyDescent="0.2">
      <c r="A116" s="84"/>
    </row>
    <row r="117" spans="1:1" x14ac:dyDescent="0.2">
      <c r="A117" s="84"/>
    </row>
    <row r="118" spans="1:1" x14ac:dyDescent="0.2">
      <c r="A118" s="84"/>
    </row>
    <row r="119" spans="1:1" x14ac:dyDescent="0.2">
      <c r="A119" s="84"/>
    </row>
    <row r="120" spans="1:1" x14ac:dyDescent="0.2">
      <c r="A120" s="84"/>
    </row>
    <row r="121" spans="1:1" x14ac:dyDescent="0.2">
      <c r="A121" s="84"/>
    </row>
    <row r="122" spans="1:1" x14ac:dyDescent="0.2">
      <c r="A122" s="84"/>
    </row>
    <row r="123" spans="1:1" x14ac:dyDescent="0.2">
      <c r="A123" s="84"/>
    </row>
    <row r="124" spans="1:1" x14ac:dyDescent="0.2">
      <c r="A124" s="84"/>
    </row>
    <row r="125" spans="1:1" x14ac:dyDescent="0.2">
      <c r="A125" s="84"/>
    </row>
    <row r="126" spans="1:1" x14ac:dyDescent="0.2">
      <c r="A126" s="84"/>
    </row>
    <row r="127" spans="1:1" x14ac:dyDescent="0.2">
      <c r="A127" s="84"/>
    </row>
    <row r="128" spans="1:1" x14ac:dyDescent="0.2">
      <c r="A128" s="84"/>
    </row>
    <row r="129" spans="1:1" x14ac:dyDescent="0.2">
      <c r="A129" s="84"/>
    </row>
    <row r="130" spans="1:1" x14ac:dyDescent="0.2">
      <c r="A130" s="84"/>
    </row>
    <row r="131" spans="1:1" x14ac:dyDescent="0.2">
      <c r="A131" s="84"/>
    </row>
    <row r="132" spans="1:1" x14ac:dyDescent="0.2">
      <c r="A132" s="84"/>
    </row>
    <row r="133" spans="1:1" x14ac:dyDescent="0.2">
      <c r="A133" s="84"/>
    </row>
    <row r="134" spans="1:1" x14ac:dyDescent="0.2">
      <c r="A134" s="84"/>
    </row>
    <row r="135" spans="1:1" x14ac:dyDescent="0.2">
      <c r="A135" s="84"/>
    </row>
    <row r="136" spans="1:1" x14ac:dyDescent="0.2">
      <c r="A136" s="84"/>
    </row>
    <row r="137" spans="1:1" x14ac:dyDescent="0.2">
      <c r="A137" s="84"/>
    </row>
    <row r="138" spans="1:1" x14ac:dyDescent="0.2">
      <c r="A138" s="84"/>
    </row>
    <row r="139" spans="1:1" x14ac:dyDescent="0.2">
      <c r="A139" s="84"/>
    </row>
    <row r="140" spans="1:1" x14ac:dyDescent="0.2">
      <c r="A140" s="84"/>
    </row>
    <row r="141" spans="1:1" x14ac:dyDescent="0.2">
      <c r="A141" s="84"/>
    </row>
    <row r="142" spans="1:1" x14ac:dyDescent="0.2">
      <c r="A142" s="84"/>
    </row>
    <row r="143" spans="1:1" x14ac:dyDescent="0.2">
      <c r="A143" s="84"/>
    </row>
    <row r="144" spans="1:1" x14ac:dyDescent="0.2">
      <c r="A144" s="84"/>
    </row>
    <row r="145" spans="1:1" x14ac:dyDescent="0.2">
      <c r="A145" s="84"/>
    </row>
    <row r="146" spans="1:1" x14ac:dyDescent="0.2">
      <c r="A146" s="84"/>
    </row>
    <row r="147" spans="1:1" x14ac:dyDescent="0.2">
      <c r="A147" s="84"/>
    </row>
    <row r="148" spans="1:1" x14ac:dyDescent="0.2">
      <c r="A148" s="84"/>
    </row>
    <row r="149" spans="1:1" x14ac:dyDescent="0.2">
      <c r="A149" s="84"/>
    </row>
    <row r="150" spans="1:1" x14ac:dyDescent="0.2">
      <c r="A150" s="84"/>
    </row>
    <row r="151" spans="1:1" x14ac:dyDescent="0.2">
      <c r="A151" s="84"/>
    </row>
    <row r="152" spans="1:1" x14ac:dyDescent="0.2">
      <c r="A152" s="84"/>
    </row>
    <row r="153" spans="1:1" x14ac:dyDescent="0.2">
      <c r="A153" s="84"/>
    </row>
    <row r="154" spans="1:1" x14ac:dyDescent="0.2">
      <c r="A154" s="84"/>
    </row>
    <row r="155" spans="1:1" x14ac:dyDescent="0.2">
      <c r="A155" s="84"/>
    </row>
    <row r="156" spans="1:1" x14ac:dyDescent="0.2">
      <c r="A156" s="84"/>
    </row>
    <row r="157" spans="1:1" x14ac:dyDescent="0.2">
      <c r="A157" s="84"/>
    </row>
    <row r="158" spans="1:1" x14ac:dyDescent="0.2">
      <c r="A158" s="84"/>
    </row>
    <row r="159" spans="1:1" x14ac:dyDescent="0.2">
      <c r="A159" s="8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N91"/>
  <sheetViews>
    <sheetView topLeftCell="B1" zoomScaleNormal="100" workbookViewId="0">
      <pane ySplit="5" topLeftCell="A29" activePane="bottomLeft" state="frozen"/>
      <selection activeCell="B1" sqref="B1"/>
      <selection pane="bottomLeft" activeCell="Y65" sqref="Y65"/>
    </sheetView>
  </sheetViews>
  <sheetFormatPr baseColWidth="10" defaultColWidth="16.6640625" defaultRowHeight="15" x14ac:dyDescent="0.2"/>
  <cols>
    <col min="1" max="1" width="16.6640625" customWidth="1"/>
    <col min="2" max="2" width="41.83203125" style="245" customWidth="1"/>
    <col min="3" max="3" width="15.5" customWidth="1"/>
    <col min="4" max="4" width="16.6640625" customWidth="1"/>
    <col min="5" max="5" width="15.5" customWidth="1"/>
    <col min="6" max="6" width="17.83203125" customWidth="1"/>
    <col min="7" max="7" width="13.1640625" customWidth="1"/>
    <col min="8" max="8" width="14.1640625" style="246" customWidth="1"/>
    <col min="9" max="9" width="13.6640625" style="246" customWidth="1"/>
    <col min="10" max="10" width="11" style="1" customWidth="1"/>
    <col min="11" max="11" width="3.6640625" customWidth="1"/>
    <col min="12" max="12" width="22.5" hidden="1" customWidth="1"/>
    <col min="13" max="13" width="14.5" hidden="1" customWidth="1"/>
    <col min="14" max="14" width="15.33203125" hidden="1" customWidth="1"/>
    <col min="15" max="15" width="7.83203125" hidden="1" customWidth="1"/>
    <col min="16" max="16" width="18.6640625" hidden="1" customWidth="1"/>
    <col min="17" max="17" width="3.6640625" hidden="1" customWidth="1"/>
    <col min="18" max="18" width="12.5" hidden="1" customWidth="1"/>
    <col min="19" max="19" width="25.5" customWidth="1"/>
    <col min="20" max="20" width="12.5" customWidth="1"/>
    <col min="21" max="21" width="14" customWidth="1"/>
    <col min="22" max="22" width="15.5" customWidth="1"/>
    <col min="23" max="23" width="6.1640625" customWidth="1"/>
    <col min="24" max="24" width="12.5" customWidth="1"/>
    <col min="25" max="25" width="15.1640625" style="149" customWidth="1"/>
    <col min="26" max="29" width="16.6640625" customWidth="1"/>
  </cols>
  <sheetData>
    <row r="1" spans="1:248" x14ac:dyDescent="0.2">
      <c r="A1" s="139"/>
      <c r="B1" s="362" t="s">
        <v>811</v>
      </c>
      <c r="C1" s="362"/>
      <c r="D1" s="140"/>
      <c r="E1" s="140"/>
      <c r="F1" s="140"/>
      <c r="G1" s="140"/>
      <c r="H1" s="141"/>
      <c r="I1" s="141"/>
      <c r="J1" s="142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43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  <c r="CM1" s="139"/>
      <c r="CN1" s="139"/>
      <c r="CO1" s="139"/>
      <c r="CP1" s="139"/>
      <c r="CQ1" s="139"/>
      <c r="CR1" s="139"/>
      <c r="CS1" s="139"/>
      <c r="CT1" s="139"/>
      <c r="CU1" s="139"/>
      <c r="CV1" s="139"/>
      <c r="CW1" s="139"/>
      <c r="CX1" s="139"/>
      <c r="CY1" s="139"/>
      <c r="CZ1" s="139"/>
      <c r="DA1" s="139"/>
      <c r="DB1" s="139"/>
      <c r="DC1" s="139"/>
      <c r="DD1" s="139"/>
      <c r="DE1" s="139"/>
      <c r="DF1" s="139"/>
      <c r="DG1" s="139"/>
      <c r="DH1" s="139"/>
      <c r="DI1" s="139"/>
      <c r="DJ1" s="139"/>
      <c r="DK1" s="139"/>
      <c r="DL1" s="139"/>
      <c r="DM1" s="139"/>
      <c r="DN1" s="139"/>
      <c r="DO1" s="139"/>
      <c r="DP1" s="139"/>
      <c r="DQ1" s="139"/>
      <c r="DR1" s="139"/>
      <c r="DS1" s="139"/>
      <c r="DT1" s="139"/>
      <c r="DU1" s="139"/>
      <c r="DV1" s="139"/>
      <c r="DW1" s="139"/>
      <c r="DX1" s="139"/>
      <c r="DY1" s="139"/>
      <c r="DZ1" s="139"/>
      <c r="EA1" s="139"/>
      <c r="EB1" s="139"/>
      <c r="EC1" s="139"/>
      <c r="ED1" s="139"/>
      <c r="EE1" s="139"/>
      <c r="EF1" s="139"/>
      <c r="EG1" s="139"/>
      <c r="EH1" s="139"/>
      <c r="EI1" s="139"/>
      <c r="EJ1" s="139"/>
      <c r="EK1" s="139"/>
      <c r="EL1" s="139"/>
      <c r="EM1" s="139"/>
      <c r="EN1" s="139"/>
      <c r="EO1" s="139"/>
      <c r="EP1" s="139"/>
      <c r="EQ1" s="139"/>
      <c r="ER1" s="139"/>
      <c r="ES1" s="139"/>
      <c r="ET1" s="139"/>
      <c r="EU1" s="139"/>
      <c r="EV1" s="139"/>
      <c r="EW1" s="139"/>
      <c r="EX1" s="139"/>
      <c r="EY1" s="139"/>
      <c r="EZ1" s="139"/>
      <c r="FA1" s="139"/>
      <c r="FB1" s="139"/>
      <c r="FC1" s="139"/>
      <c r="FD1" s="139"/>
      <c r="FE1" s="139"/>
      <c r="FF1" s="139"/>
      <c r="FG1" s="139"/>
      <c r="FH1" s="139"/>
      <c r="FI1" s="139"/>
      <c r="FJ1" s="139"/>
      <c r="FK1" s="139"/>
      <c r="FL1" s="139"/>
      <c r="FM1" s="139"/>
      <c r="FN1" s="139"/>
      <c r="FO1" s="139"/>
      <c r="FP1" s="139"/>
      <c r="FQ1" s="139"/>
      <c r="FR1" s="139"/>
      <c r="FS1" s="139"/>
      <c r="FT1" s="139"/>
      <c r="FU1" s="139"/>
      <c r="FV1" s="139"/>
      <c r="FW1" s="139"/>
      <c r="FX1" s="139"/>
      <c r="FY1" s="139"/>
      <c r="FZ1" s="139"/>
      <c r="GA1" s="139"/>
      <c r="GB1" s="139"/>
      <c r="GC1" s="139"/>
      <c r="GD1" s="139"/>
      <c r="GE1" s="139"/>
      <c r="GF1" s="139"/>
      <c r="GG1" s="139"/>
      <c r="GH1" s="139"/>
      <c r="GI1" s="139"/>
      <c r="GJ1" s="139"/>
      <c r="GK1" s="139"/>
      <c r="GL1" s="139"/>
      <c r="GM1" s="139"/>
      <c r="GN1" s="139"/>
      <c r="GO1" s="139"/>
      <c r="GP1" s="139"/>
      <c r="GQ1" s="139"/>
      <c r="GR1" s="139"/>
      <c r="GS1" s="139"/>
      <c r="GT1" s="139"/>
      <c r="GU1" s="139"/>
      <c r="GV1" s="139"/>
      <c r="GW1" s="139"/>
      <c r="GX1" s="139"/>
      <c r="GY1" s="139"/>
      <c r="GZ1" s="139"/>
      <c r="HA1" s="139"/>
      <c r="HB1" s="139"/>
      <c r="HC1" s="139"/>
      <c r="HD1" s="139"/>
      <c r="HE1" s="139"/>
      <c r="HF1" s="139"/>
      <c r="HG1" s="139"/>
      <c r="HH1" s="139"/>
      <c r="HI1" s="139"/>
      <c r="HJ1" s="139"/>
      <c r="HK1" s="139"/>
      <c r="HL1" s="139"/>
      <c r="HM1" s="139"/>
      <c r="HN1" s="139"/>
      <c r="HO1" s="139"/>
      <c r="HP1" s="139"/>
      <c r="HQ1" s="139"/>
      <c r="HR1" s="139"/>
      <c r="HS1" s="139"/>
      <c r="HT1" s="139"/>
      <c r="HU1" s="139"/>
      <c r="HV1" s="139"/>
      <c r="HW1" s="139"/>
      <c r="HX1" s="139"/>
      <c r="HY1" s="139"/>
      <c r="HZ1" s="139"/>
      <c r="IA1" s="139"/>
      <c r="IB1" s="139"/>
      <c r="IC1" s="139"/>
      <c r="ID1" s="139"/>
      <c r="IE1" s="139"/>
      <c r="IF1" s="139"/>
      <c r="IG1" s="139"/>
      <c r="IH1" s="139"/>
      <c r="II1" s="139"/>
      <c r="IJ1" s="139"/>
      <c r="IK1" s="139"/>
      <c r="IL1" s="139"/>
      <c r="IM1" s="139"/>
      <c r="IN1" s="139"/>
    </row>
    <row r="2" spans="1:248" ht="16" thickBot="1" x14ac:dyDescent="0.25">
      <c r="A2" s="108"/>
      <c r="B2" s="144"/>
      <c r="C2" s="108"/>
      <c r="E2" s="145"/>
      <c r="F2" s="145"/>
      <c r="G2" s="146"/>
      <c r="H2" s="147"/>
      <c r="I2" s="147"/>
      <c r="J2" s="148"/>
    </row>
    <row r="3" spans="1:248" ht="16" thickBot="1" x14ac:dyDescent="0.25">
      <c r="A3" s="150"/>
      <c r="B3" s="151"/>
      <c r="C3" s="152"/>
      <c r="D3" s="153"/>
      <c r="E3" s="154"/>
      <c r="F3" s="155"/>
      <c r="G3" s="156"/>
      <c r="H3" s="363" t="s">
        <v>13</v>
      </c>
      <c r="I3" s="364"/>
      <c r="J3" s="365"/>
      <c r="K3" s="157"/>
      <c r="L3" s="352" t="s">
        <v>14</v>
      </c>
      <c r="M3" s="353"/>
      <c r="N3" s="354"/>
      <c r="P3" s="84" t="s">
        <v>12</v>
      </c>
      <c r="R3" t="s">
        <v>1263</v>
      </c>
      <c r="S3" s="355" t="s">
        <v>810</v>
      </c>
      <c r="T3" s="356"/>
      <c r="U3" s="357"/>
      <c r="V3" s="158"/>
      <c r="Y3" s="159" t="s">
        <v>15</v>
      </c>
    </row>
    <row r="4" spans="1:248" x14ac:dyDescent="0.2">
      <c r="A4" s="160" t="s">
        <v>16</v>
      </c>
      <c r="B4" s="161" t="s">
        <v>17</v>
      </c>
      <c r="C4" s="160" t="s">
        <v>18</v>
      </c>
      <c r="D4" s="162"/>
      <c r="E4" s="160" t="s">
        <v>19</v>
      </c>
      <c r="F4" s="163" t="s">
        <v>2534</v>
      </c>
      <c r="G4" s="155"/>
      <c r="H4" s="358" t="s">
        <v>20</v>
      </c>
      <c r="I4" s="164" t="s">
        <v>19</v>
      </c>
      <c r="J4" s="165"/>
      <c r="K4" s="166"/>
      <c r="L4" s="360" t="s">
        <v>20</v>
      </c>
      <c r="M4" s="167" t="s">
        <v>19</v>
      </c>
      <c r="N4" s="168"/>
      <c r="O4" s="169"/>
      <c r="P4" s="170">
        <v>45291</v>
      </c>
      <c r="Q4" s="158"/>
      <c r="R4" s="158"/>
      <c r="S4" s="171"/>
      <c r="T4" s="171"/>
      <c r="U4" s="171"/>
      <c r="V4" s="158"/>
      <c r="Y4" s="172"/>
    </row>
    <row r="5" spans="1:248" ht="16" thickBot="1" x14ac:dyDescent="0.25">
      <c r="A5" s="173"/>
      <c r="B5" s="174"/>
      <c r="C5" s="175">
        <v>44896</v>
      </c>
      <c r="D5" s="176" t="s">
        <v>20</v>
      </c>
      <c r="E5" s="177" t="s">
        <v>21</v>
      </c>
      <c r="F5" s="178" t="s">
        <v>21</v>
      </c>
      <c r="G5" s="179"/>
      <c r="H5" s="359"/>
      <c r="I5" s="180" t="s">
        <v>21</v>
      </c>
      <c r="J5" s="181"/>
      <c r="K5" s="84"/>
      <c r="L5" s="361"/>
      <c r="M5" s="182" t="s">
        <v>21</v>
      </c>
      <c r="N5" s="183"/>
      <c r="P5" s="158" t="s">
        <v>693</v>
      </c>
      <c r="Q5" s="158"/>
      <c r="R5" s="184"/>
      <c r="S5" s="184"/>
      <c r="T5" s="184"/>
      <c r="U5" s="184"/>
      <c r="V5" s="184"/>
      <c r="Y5" s="185">
        <v>45596</v>
      </c>
    </row>
    <row r="6" spans="1:248" ht="16" thickBot="1" x14ac:dyDescent="0.25">
      <c r="A6" s="186">
        <v>0</v>
      </c>
      <c r="B6" s="187" t="s">
        <v>22</v>
      </c>
      <c r="C6" s="188">
        <v>13</v>
      </c>
      <c r="D6" s="2">
        <v>650</v>
      </c>
      <c r="E6" s="189">
        <v>150</v>
      </c>
      <c r="F6" s="190"/>
      <c r="G6" s="191"/>
      <c r="H6" s="192">
        <v>650</v>
      </c>
      <c r="I6" s="193">
        <v>150</v>
      </c>
      <c r="J6" s="194"/>
      <c r="K6" s="195"/>
      <c r="L6" s="196">
        <f t="shared" ref="L6:L37" si="0">D6-H6</f>
        <v>0</v>
      </c>
      <c r="M6" s="196">
        <f t="shared" ref="M6:M37" si="1">E6-I6</f>
        <v>0</v>
      </c>
      <c r="N6" s="196"/>
      <c r="O6" s="1"/>
      <c r="P6" s="1"/>
      <c r="Q6" s="1"/>
      <c r="R6" s="1"/>
      <c r="S6" s="1"/>
      <c r="T6" s="1"/>
      <c r="U6" s="1"/>
      <c r="V6" s="1"/>
      <c r="W6" s="1"/>
      <c r="X6" s="1"/>
      <c r="Y6" s="197">
        <f>L6+M6+P6+U6</f>
        <v>0</v>
      </c>
      <c r="AB6" s="109"/>
      <c r="AC6" s="109"/>
      <c r="AD6" s="109"/>
      <c r="AE6" s="109"/>
    </row>
    <row r="7" spans="1:248" ht="16" thickBot="1" x14ac:dyDescent="0.25">
      <c r="A7" s="198">
        <v>5882</v>
      </c>
      <c r="B7" s="199" t="s">
        <v>23</v>
      </c>
      <c r="C7" s="188">
        <v>13</v>
      </c>
      <c r="D7" s="2">
        <v>650</v>
      </c>
      <c r="E7" s="200">
        <v>65</v>
      </c>
      <c r="F7" s="201"/>
      <c r="G7" s="202"/>
      <c r="H7" s="192">
        <v>650</v>
      </c>
      <c r="I7" s="203"/>
      <c r="J7" s="204"/>
      <c r="K7" s="195"/>
      <c r="L7" s="196">
        <f t="shared" si="0"/>
        <v>0</v>
      </c>
      <c r="M7" s="196">
        <f t="shared" si="1"/>
        <v>65</v>
      </c>
      <c r="N7" s="196"/>
      <c r="O7" s="1"/>
      <c r="P7" s="80">
        <v>535</v>
      </c>
      <c r="Q7" s="1"/>
      <c r="R7" s="1"/>
      <c r="S7" s="1">
        <v>-600</v>
      </c>
      <c r="T7" s="1"/>
      <c r="U7" s="1"/>
      <c r="V7" s="1"/>
      <c r="W7" s="1"/>
      <c r="X7" s="1"/>
      <c r="Y7" s="197">
        <f>L7+M7+P7+S7+T7+U7</f>
        <v>0</v>
      </c>
      <c r="AB7" s="109"/>
      <c r="AC7" s="109"/>
      <c r="AD7" s="109"/>
      <c r="AE7" s="109"/>
    </row>
    <row r="8" spans="1:248" ht="16" thickBot="1" x14ac:dyDescent="0.25">
      <c r="A8" s="198"/>
      <c r="B8" s="199" t="s">
        <v>665</v>
      </c>
      <c r="C8" s="188">
        <v>42</v>
      </c>
      <c r="D8" s="2">
        <v>2100</v>
      </c>
      <c r="E8" s="200">
        <v>210</v>
      </c>
      <c r="F8" s="201"/>
      <c r="G8" s="202"/>
      <c r="H8" s="192">
        <v>1550</v>
      </c>
      <c r="I8" s="203"/>
      <c r="J8" s="204"/>
      <c r="K8" s="195"/>
      <c r="L8" s="196">
        <f t="shared" si="0"/>
        <v>550</v>
      </c>
      <c r="M8" s="196">
        <f t="shared" si="1"/>
        <v>210</v>
      </c>
      <c r="N8" s="196"/>
      <c r="O8" s="1"/>
      <c r="P8" s="1"/>
      <c r="Q8" s="1"/>
      <c r="R8" s="1"/>
      <c r="S8" s="1"/>
      <c r="T8" s="1"/>
      <c r="U8" s="1"/>
      <c r="V8" s="1"/>
      <c r="W8" s="1"/>
      <c r="X8" s="1"/>
      <c r="Y8" s="197">
        <f t="shared" ref="Y8:Y59" si="2">L8+M8+P8+S8+T8+U8</f>
        <v>760</v>
      </c>
      <c r="AB8" s="84"/>
      <c r="AC8" s="90"/>
      <c r="AD8" s="91"/>
      <c r="AE8" s="92"/>
    </row>
    <row r="9" spans="1:248" ht="16" thickBot="1" x14ac:dyDescent="0.25">
      <c r="A9" s="198">
        <v>5884</v>
      </c>
      <c r="B9" s="199" t="s">
        <v>24</v>
      </c>
      <c r="C9" s="188">
        <v>0</v>
      </c>
      <c r="D9" s="2"/>
      <c r="E9" s="200"/>
      <c r="F9" s="201"/>
      <c r="G9" s="202"/>
      <c r="H9" s="205"/>
      <c r="I9" s="206"/>
      <c r="J9" s="204"/>
      <c r="K9" s="195"/>
      <c r="L9" s="196">
        <f t="shared" si="0"/>
        <v>0</v>
      </c>
      <c r="M9" s="196">
        <f t="shared" si="1"/>
        <v>0</v>
      </c>
      <c r="N9" s="196"/>
      <c r="O9" s="1"/>
      <c r="P9" s="1"/>
      <c r="Q9" s="1"/>
      <c r="R9" s="1"/>
      <c r="S9" s="1"/>
      <c r="T9" s="1"/>
      <c r="U9" s="1"/>
      <c r="V9" s="1"/>
      <c r="W9" s="1"/>
      <c r="X9" s="1"/>
      <c r="Y9" s="197">
        <f t="shared" si="2"/>
        <v>0</v>
      </c>
      <c r="AB9" s="84"/>
      <c r="AC9" s="90"/>
      <c r="AD9" s="91"/>
      <c r="AE9" s="92"/>
    </row>
    <row r="10" spans="1:248" ht="16" thickBot="1" x14ac:dyDescent="0.25">
      <c r="A10" s="198">
        <v>5886</v>
      </c>
      <c r="B10" s="199" t="s">
        <v>25</v>
      </c>
      <c r="C10" s="188">
        <v>111</v>
      </c>
      <c r="D10" s="3">
        <v>5550</v>
      </c>
      <c r="E10" s="200">
        <v>5200</v>
      </c>
      <c r="F10" s="201"/>
      <c r="G10" s="202"/>
      <c r="H10" s="205">
        <v>5500</v>
      </c>
      <c r="I10" s="206">
        <v>3743</v>
      </c>
      <c r="J10" s="197"/>
      <c r="K10" s="195"/>
      <c r="L10" s="196">
        <f t="shared" si="0"/>
        <v>50</v>
      </c>
      <c r="M10" s="196">
        <f t="shared" si="1"/>
        <v>1457</v>
      </c>
      <c r="N10" s="196"/>
      <c r="O10" s="1"/>
      <c r="P10" s="1"/>
      <c r="Q10" s="1"/>
      <c r="R10" s="1"/>
      <c r="S10" s="1"/>
      <c r="T10" s="1"/>
      <c r="U10" s="1"/>
      <c r="W10" s="1"/>
      <c r="X10" s="1"/>
      <c r="Y10" s="197">
        <f t="shared" si="2"/>
        <v>1507</v>
      </c>
      <c r="AB10" s="84"/>
      <c r="AC10" s="90"/>
      <c r="AD10" s="91"/>
      <c r="AE10" s="92"/>
    </row>
    <row r="11" spans="1:248" s="149" customFormat="1" ht="14.5" customHeight="1" thickBot="1" x14ac:dyDescent="0.25">
      <c r="A11" s="207">
        <v>5888</v>
      </c>
      <c r="B11" s="208" t="s">
        <v>26</v>
      </c>
      <c r="C11" s="209">
        <v>89</v>
      </c>
      <c r="D11" s="5">
        <v>4450</v>
      </c>
      <c r="E11" s="210">
        <v>655</v>
      </c>
      <c r="F11" s="211"/>
      <c r="G11" s="212"/>
      <c r="H11" s="205">
        <v>4450</v>
      </c>
      <c r="I11" s="206">
        <v>650</v>
      </c>
      <c r="J11" s="197"/>
      <c r="K11" s="213"/>
      <c r="L11" s="196">
        <f t="shared" si="0"/>
        <v>0</v>
      </c>
      <c r="M11" s="196">
        <f t="shared" si="1"/>
        <v>5</v>
      </c>
      <c r="N11" s="196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197">
        <f t="shared" si="2"/>
        <v>5</v>
      </c>
      <c r="AA11"/>
      <c r="AB11" s="84"/>
      <c r="AC11" s="90"/>
      <c r="AD11" s="91"/>
      <c r="AE11" s="92"/>
    </row>
    <row r="12" spans="1:248" ht="16" thickBot="1" x14ac:dyDescent="0.25">
      <c r="A12" s="198">
        <v>5889</v>
      </c>
      <c r="B12" s="199" t="s">
        <v>27</v>
      </c>
      <c r="C12" s="188">
        <v>22</v>
      </c>
      <c r="D12" s="214">
        <v>1100</v>
      </c>
      <c r="E12" s="200">
        <v>220</v>
      </c>
      <c r="F12" s="201"/>
      <c r="G12" s="202"/>
      <c r="H12" s="192"/>
      <c r="I12" s="203"/>
      <c r="J12" s="204"/>
      <c r="K12" s="195"/>
      <c r="L12" s="196">
        <f t="shared" si="0"/>
        <v>1100</v>
      </c>
      <c r="M12" s="196">
        <f t="shared" si="1"/>
        <v>220</v>
      </c>
      <c r="N12" s="196"/>
      <c r="O12" s="1"/>
      <c r="P12" s="1"/>
      <c r="Q12" s="1"/>
      <c r="R12" s="1"/>
      <c r="S12" s="1"/>
      <c r="T12" s="1"/>
      <c r="U12" s="1"/>
      <c r="V12" s="1"/>
      <c r="W12" s="1"/>
      <c r="X12" s="1"/>
      <c r="Y12" s="197">
        <f t="shared" si="2"/>
        <v>1320</v>
      </c>
      <c r="AB12" s="84"/>
      <c r="AC12" s="90"/>
      <c r="AD12" s="91"/>
      <c r="AE12" s="92"/>
    </row>
    <row r="13" spans="1:248" s="149" customFormat="1" ht="16" thickBot="1" x14ac:dyDescent="0.25">
      <c r="A13" s="207">
        <v>5494</v>
      </c>
      <c r="B13" s="208" t="s">
        <v>28</v>
      </c>
      <c r="C13" s="209">
        <v>136</v>
      </c>
      <c r="D13" s="5">
        <v>6800</v>
      </c>
      <c r="E13" s="210">
        <v>28891</v>
      </c>
      <c r="F13" s="211"/>
      <c r="G13" s="212"/>
      <c r="H13" s="205">
        <v>6800</v>
      </c>
      <c r="I13" s="206">
        <v>28891</v>
      </c>
      <c r="J13" s="197"/>
      <c r="K13" s="213"/>
      <c r="L13" s="215">
        <f t="shared" si="0"/>
        <v>0</v>
      </c>
      <c r="M13" s="215">
        <f t="shared" si="1"/>
        <v>0</v>
      </c>
      <c r="N13" s="215"/>
      <c r="O13" s="80"/>
      <c r="P13" s="80">
        <v>2250</v>
      </c>
      <c r="Q13" s="80"/>
      <c r="R13" s="80"/>
      <c r="S13" s="80">
        <v>-2250</v>
      </c>
      <c r="T13" s="80"/>
      <c r="U13" s="80"/>
      <c r="V13" s="80"/>
      <c r="W13" s="80"/>
      <c r="X13" s="80"/>
      <c r="Y13" s="197">
        <f t="shared" si="2"/>
        <v>0</v>
      </c>
      <c r="AA13"/>
      <c r="AB13" s="84"/>
      <c r="AC13" s="90"/>
      <c r="AD13" s="91"/>
      <c r="AE13" s="92"/>
    </row>
    <row r="14" spans="1:248" s="149" customFormat="1" ht="16" thickBot="1" x14ac:dyDescent="0.25">
      <c r="A14" s="207">
        <v>5893</v>
      </c>
      <c r="B14" s="208" t="s">
        <v>29</v>
      </c>
      <c r="C14" s="209">
        <v>17</v>
      </c>
      <c r="D14" s="5">
        <v>900</v>
      </c>
      <c r="E14" s="210">
        <v>205</v>
      </c>
      <c r="F14" s="211"/>
      <c r="G14" s="212"/>
      <c r="H14" s="205">
        <v>900</v>
      </c>
      <c r="I14" s="206">
        <v>205</v>
      </c>
      <c r="J14" s="197"/>
      <c r="K14" s="213"/>
      <c r="L14" s="215">
        <f t="shared" si="0"/>
        <v>0</v>
      </c>
      <c r="M14" s="215">
        <f t="shared" si="1"/>
        <v>0</v>
      </c>
      <c r="N14" s="215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197">
        <f t="shared" si="2"/>
        <v>0</v>
      </c>
      <c r="AA14"/>
      <c r="AB14" s="84"/>
      <c r="AC14" s="90"/>
      <c r="AD14" s="91"/>
      <c r="AE14" s="92"/>
    </row>
    <row r="15" spans="1:248" ht="16" thickBot="1" x14ac:dyDescent="0.25">
      <c r="A15" s="198">
        <v>5894</v>
      </c>
      <c r="B15" s="199" t="s">
        <v>30</v>
      </c>
      <c r="C15" s="188">
        <v>30</v>
      </c>
      <c r="D15" s="2">
        <v>1500</v>
      </c>
      <c r="E15" s="200">
        <v>605</v>
      </c>
      <c r="F15" s="201"/>
      <c r="G15" s="202"/>
      <c r="H15" s="192">
        <v>1500</v>
      </c>
      <c r="I15" s="203">
        <v>600</v>
      </c>
      <c r="J15" s="204"/>
      <c r="K15" s="195"/>
      <c r="L15" s="196">
        <f t="shared" si="0"/>
        <v>0</v>
      </c>
      <c r="M15" s="196">
        <f t="shared" si="1"/>
        <v>5</v>
      </c>
      <c r="N15" s="196"/>
      <c r="O15" s="1"/>
      <c r="P15" s="1"/>
      <c r="Q15" s="1"/>
      <c r="R15" s="1"/>
      <c r="S15" s="1"/>
      <c r="T15" s="1"/>
      <c r="U15" s="1"/>
      <c r="V15" s="1"/>
      <c r="W15" s="1"/>
      <c r="X15" s="1"/>
      <c r="Y15" s="197">
        <f t="shared" si="2"/>
        <v>5</v>
      </c>
      <c r="AB15" s="84"/>
      <c r="AC15" s="90"/>
      <c r="AD15" s="91"/>
      <c r="AE15" s="92"/>
    </row>
    <row r="16" spans="1:248" ht="16" thickBot="1" x14ac:dyDescent="0.25">
      <c r="A16" s="198">
        <v>4125</v>
      </c>
      <c r="B16" s="199" t="s">
        <v>31</v>
      </c>
      <c r="C16" s="188">
        <v>89</v>
      </c>
      <c r="D16" s="3">
        <v>4450</v>
      </c>
      <c r="E16" s="200">
        <v>800</v>
      </c>
      <c r="F16" s="201"/>
      <c r="G16" s="202"/>
      <c r="H16" s="192">
        <v>4450</v>
      </c>
      <c r="I16" s="203">
        <v>800</v>
      </c>
      <c r="J16" s="204"/>
      <c r="K16" s="195"/>
      <c r="L16" s="196">
        <f t="shared" si="0"/>
        <v>0</v>
      </c>
      <c r="M16" s="196">
        <f t="shared" si="1"/>
        <v>0</v>
      </c>
      <c r="N16" s="196"/>
      <c r="O16" s="1"/>
      <c r="P16" s="1"/>
      <c r="Q16" s="1"/>
      <c r="R16" s="1"/>
      <c r="S16" s="1"/>
      <c r="T16" s="1"/>
      <c r="U16" s="1"/>
      <c r="V16" s="1"/>
      <c r="W16" s="1"/>
      <c r="X16" s="1"/>
      <c r="Y16" s="197">
        <f t="shared" si="2"/>
        <v>0</v>
      </c>
      <c r="AB16" s="84"/>
      <c r="AC16" s="90"/>
      <c r="AD16" s="91"/>
      <c r="AE16" s="92"/>
    </row>
    <row r="17" spans="1:31" ht="16" thickBot="1" x14ac:dyDescent="0.25">
      <c r="A17" s="198">
        <v>5497</v>
      </c>
      <c r="B17" s="199" t="s">
        <v>816</v>
      </c>
      <c r="C17" s="188">
        <v>12</v>
      </c>
      <c r="D17" s="3">
        <v>600</v>
      </c>
      <c r="E17" s="200">
        <v>75</v>
      </c>
      <c r="F17" s="201"/>
      <c r="G17" s="202"/>
      <c r="H17" s="192">
        <v>600</v>
      </c>
      <c r="I17" s="203">
        <v>75</v>
      </c>
      <c r="J17" s="204"/>
      <c r="K17" s="195"/>
      <c r="L17" s="196">
        <f t="shared" si="0"/>
        <v>0</v>
      </c>
      <c r="M17" s="196">
        <f t="shared" si="1"/>
        <v>0</v>
      </c>
      <c r="N17" s="196"/>
      <c r="O17" s="1"/>
      <c r="P17" s="1"/>
      <c r="Q17" s="1"/>
      <c r="R17" s="1"/>
      <c r="S17" s="1"/>
      <c r="T17" s="1"/>
      <c r="U17" s="1"/>
      <c r="V17" s="1"/>
      <c r="W17" s="1"/>
      <c r="X17" s="1"/>
      <c r="Y17" s="197">
        <f t="shared" si="2"/>
        <v>0</v>
      </c>
      <c r="Z17" s="149"/>
      <c r="AB17" s="84"/>
      <c r="AC17" s="90"/>
      <c r="AD17" s="91"/>
      <c r="AE17" s="92"/>
    </row>
    <row r="18" spans="1:31" s="149" customFormat="1" ht="15.5" customHeight="1" thickBot="1" x14ac:dyDescent="0.25">
      <c r="A18" s="207">
        <v>5899</v>
      </c>
      <c r="B18" s="208" t="s">
        <v>32</v>
      </c>
      <c r="C18" s="209">
        <v>155</v>
      </c>
      <c r="D18" s="3">
        <v>7750</v>
      </c>
      <c r="E18" s="210">
        <v>6565</v>
      </c>
      <c r="F18" s="211"/>
      <c r="G18" s="212"/>
      <c r="H18" s="205">
        <v>7750</v>
      </c>
      <c r="I18" s="206">
        <v>6565</v>
      </c>
      <c r="J18" s="197"/>
      <c r="K18" s="213"/>
      <c r="L18" s="215">
        <f t="shared" si="0"/>
        <v>0</v>
      </c>
      <c r="M18" s="215">
        <f t="shared" si="1"/>
        <v>0</v>
      </c>
      <c r="N18" s="215"/>
      <c r="O18" s="80"/>
      <c r="P18" s="80"/>
      <c r="Q18" s="80"/>
      <c r="R18" s="80"/>
      <c r="T18" s="80"/>
      <c r="U18" s="80"/>
      <c r="V18" s="80"/>
      <c r="W18" s="80"/>
      <c r="X18" s="80"/>
      <c r="Y18" s="197">
        <f t="shared" si="2"/>
        <v>0</v>
      </c>
      <c r="AA18"/>
      <c r="AB18" s="84"/>
      <c r="AC18" s="90"/>
      <c r="AD18" s="91"/>
      <c r="AE18" s="92"/>
    </row>
    <row r="19" spans="1:31" s="149" customFormat="1" ht="16" thickBot="1" x14ac:dyDescent="0.25">
      <c r="A19" s="207">
        <v>5902</v>
      </c>
      <c r="B19" s="208" t="s">
        <v>33</v>
      </c>
      <c r="C19" s="209">
        <v>117</v>
      </c>
      <c r="D19" s="5">
        <v>5850</v>
      </c>
      <c r="E19" s="210">
        <v>3105</v>
      </c>
      <c r="F19" s="211"/>
      <c r="G19" s="212"/>
      <c r="H19" s="205">
        <v>5850</v>
      </c>
      <c r="I19" s="206">
        <v>2330</v>
      </c>
      <c r="J19" s="197"/>
      <c r="K19" s="213"/>
      <c r="L19" s="215">
        <f t="shared" si="0"/>
        <v>0</v>
      </c>
      <c r="M19" s="215">
        <f t="shared" si="1"/>
        <v>775</v>
      </c>
      <c r="N19" s="215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197">
        <f t="shared" si="2"/>
        <v>775</v>
      </c>
      <c r="AA19"/>
      <c r="AB19" s="84"/>
      <c r="AC19" s="90"/>
      <c r="AD19" s="91"/>
      <c r="AE19" s="92"/>
    </row>
    <row r="20" spans="1:31" s="149" customFormat="1" ht="16" thickBot="1" x14ac:dyDescent="0.25">
      <c r="A20" s="207">
        <v>11105</v>
      </c>
      <c r="B20" s="208" t="s">
        <v>34</v>
      </c>
      <c r="C20" s="209">
        <v>335</v>
      </c>
      <c r="D20" s="3">
        <v>16750</v>
      </c>
      <c r="E20" s="210">
        <v>26980</v>
      </c>
      <c r="F20" s="211"/>
      <c r="G20" s="212"/>
      <c r="H20" s="205">
        <v>16750</v>
      </c>
      <c r="I20" s="206">
        <v>26977</v>
      </c>
      <c r="J20" s="197"/>
      <c r="K20" s="213"/>
      <c r="L20" s="215">
        <f t="shared" si="0"/>
        <v>0</v>
      </c>
      <c r="M20" s="215">
        <f t="shared" si="1"/>
        <v>3</v>
      </c>
      <c r="N20" s="215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197">
        <f t="shared" si="2"/>
        <v>3</v>
      </c>
      <c r="AA20"/>
      <c r="AB20" s="84"/>
      <c r="AC20" s="90"/>
      <c r="AD20" s="91"/>
      <c r="AE20" s="92"/>
    </row>
    <row r="21" spans="1:31" ht="16" thickBot="1" x14ac:dyDescent="0.25">
      <c r="A21" s="198"/>
      <c r="B21" s="199" t="s">
        <v>35</v>
      </c>
      <c r="C21" s="188">
        <v>0</v>
      </c>
      <c r="D21" s="3"/>
      <c r="E21" s="200"/>
      <c r="F21" s="201"/>
      <c r="G21" s="202"/>
      <c r="H21" s="192"/>
      <c r="I21" s="203"/>
      <c r="J21" s="204"/>
      <c r="K21" s="195"/>
      <c r="L21" s="196">
        <f t="shared" si="0"/>
        <v>0</v>
      </c>
      <c r="M21" s="196">
        <f t="shared" si="1"/>
        <v>0</v>
      </c>
      <c r="N21" s="196"/>
      <c r="O21" s="1"/>
      <c r="P21" s="1"/>
      <c r="Q21" s="1"/>
      <c r="R21" s="1"/>
      <c r="S21" s="1"/>
      <c r="T21" s="1"/>
      <c r="U21" s="1"/>
      <c r="V21" s="1"/>
      <c r="W21" s="1"/>
      <c r="X21" s="1"/>
      <c r="Y21" s="197">
        <f t="shared" si="2"/>
        <v>0</v>
      </c>
      <c r="AB21" s="84"/>
      <c r="AC21" s="90"/>
      <c r="AD21" s="91"/>
      <c r="AE21" s="92"/>
    </row>
    <row r="22" spans="1:31" s="149" customFormat="1" ht="16" thickBot="1" x14ac:dyDescent="0.25">
      <c r="A22" s="207">
        <v>5905</v>
      </c>
      <c r="B22" s="208" t="s">
        <v>36</v>
      </c>
      <c r="C22" s="209">
        <v>97</v>
      </c>
      <c r="D22" s="3">
        <v>4850</v>
      </c>
      <c r="E22" s="210">
        <v>970</v>
      </c>
      <c r="F22" s="211"/>
      <c r="G22" s="212"/>
      <c r="H22" s="205"/>
      <c r="I22" s="206"/>
      <c r="J22" s="197"/>
      <c r="K22" s="213"/>
      <c r="L22" s="215">
        <f t="shared" si="0"/>
        <v>4850</v>
      </c>
      <c r="M22" s="215">
        <f t="shared" si="1"/>
        <v>970</v>
      </c>
      <c r="N22" s="215"/>
      <c r="P22" s="80"/>
      <c r="Q22" s="80"/>
      <c r="R22" s="80"/>
      <c r="S22" s="80"/>
      <c r="T22" s="80"/>
      <c r="U22" s="80"/>
      <c r="V22" s="80"/>
      <c r="W22" s="80"/>
      <c r="X22" s="80"/>
      <c r="Y22" s="197">
        <f t="shared" si="2"/>
        <v>5820</v>
      </c>
      <c r="AA22"/>
      <c r="AB22" s="84"/>
      <c r="AC22" s="90"/>
      <c r="AD22" s="91"/>
      <c r="AE22" s="92"/>
    </row>
    <row r="23" spans="1:31" s="149" customFormat="1" ht="16" thickBot="1" x14ac:dyDescent="0.25">
      <c r="A23" s="207">
        <v>9335</v>
      </c>
      <c r="B23" s="208" t="s">
        <v>37</v>
      </c>
      <c r="C23" s="209">
        <v>92</v>
      </c>
      <c r="D23" s="5">
        <v>4600</v>
      </c>
      <c r="E23" s="210">
        <v>4645</v>
      </c>
      <c r="F23" s="211"/>
      <c r="G23" s="212"/>
      <c r="H23" s="205">
        <v>4216.63</v>
      </c>
      <c r="I23" s="206">
        <v>4583.37</v>
      </c>
      <c r="J23" s="197"/>
      <c r="K23" s="213"/>
      <c r="L23" s="215">
        <f t="shared" si="0"/>
        <v>383.36999999999989</v>
      </c>
      <c r="M23" s="215">
        <f t="shared" si="1"/>
        <v>61.630000000000109</v>
      </c>
      <c r="N23" s="215"/>
      <c r="O23" s="80"/>
      <c r="P23" s="80"/>
      <c r="Q23" s="80"/>
      <c r="R23" s="80"/>
      <c r="S23" s="80"/>
      <c r="T23" s="80"/>
      <c r="U23" s="80"/>
      <c r="V23" s="80"/>
      <c r="W23" s="80"/>
      <c r="Y23" s="197">
        <f t="shared" si="2"/>
        <v>445</v>
      </c>
      <c r="AB23" s="158"/>
      <c r="AC23" s="98"/>
      <c r="AD23" s="99"/>
      <c r="AE23" s="100"/>
    </row>
    <row r="24" spans="1:31" s="149" customFormat="1" ht="16" thickBot="1" x14ac:dyDescent="0.25">
      <c r="A24" s="207">
        <v>5908</v>
      </c>
      <c r="B24" s="208" t="s">
        <v>38</v>
      </c>
      <c r="C24" s="209">
        <v>93</v>
      </c>
      <c r="D24" s="3">
        <v>4650</v>
      </c>
      <c r="E24" s="210">
        <v>2680</v>
      </c>
      <c r="F24" s="211"/>
      <c r="G24" s="212"/>
      <c r="H24" s="205">
        <v>4649.93</v>
      </c>
      <c r="I24" s="206">
        <v>2680.08</v>
      </c>
      <c r="J24" s="197"/>
      <c r="K24" s="213"/>
      <c r="L24" s="215">
        <f t="shared" si="0"/>
        <v>6.9999999999708962E-2</v>
      </c>
      <c r="M24" s="215">
        <f t="shared" si="1"/>
        <v>-7.999999999992724E-2</v>
      </c>
      <c r="N24" s="215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197">
        <f t="shared" si="2"/>
        <v>-1.0000000000218279E-2</v>
      </c>
      <c r="AA24"/>
      <c r="AB24" s="84"/>
      <c r="AC24" s="90"/>
      <c r="AD24" s="91"/>
      <c r="AE24" s="92"/>
    </row>
    <row r="25" spans="1:31" ht="16" thickBot="1" x14ac:dyDescent="0.25">
      <c r="A25" s="198">
        <v>5909</v>
      </c>
      <c r="B25" s="199" t="s">
        <v>39</v>
      </c>
      <c r="C25" s="188">
        <v>10</v>
      </c>
      <c r="D25" s="3">
        <v>500</v>
      </c>
      <c r="E25" s="200">
        <v>262.5</v>
      </c>
      <c r="F25" s="201"/>
      <c r="G25" s="202"/>
      <c r="H25" s="192">
        <v>425</v>
      </c>
      <c r="I25" s="203">
        <v>200</v>
      </c>
      <c r="J25" s="204"/>
      <c r="K25" s="195"/>
      <c r="L25" s="196">
        <f t="shared" si="0"/>
        <v>75</v>
      </c>
      <c r="M25" s="196">
        <f t="shared" si="1"/>
        <v>62.5</v>
      </c>
      <c r="N25" s="196"/>
      <c r="O25" s="1"/>
      <c r="P25" s="1"/>
      <c r="Q25" s="1"/>
      <c r="R25" s="1"/>
      <c r="S25" s="1"/>
      <c r="T25" s="1"/>
      <c r="U25" s="1"/>
      <c r="V25" s="1"/>
      <c r="W25" s="1"/>
      <c r="X25" s="1"/>
      <c r="Y25" s="197">
        <f t="shared" si="2"/>
        <v>137.5</v>
      </c>
      <c r="AB25" s="84"/>
      <c r="AC25" s="90"/>
      <c r="AD25" s="91"/>
      <c r="AE25" s="92"/>
    </row>
    <row r="26" spans="1:31" s="149" customFormat="1" ht="16" thickBot="1" x14ac:dyDescent="0.25">
      <c r="A26" s="207">
        <v>5508</v>
      </c>
      <c r="B26" s="208" t="s">
        <v>40</v>
      </c>
      <c r="C26" s="209">
        <v>43</v>
      </c>
      <c r="D26" s="3">
        <v>2150</v>
      </c>
      <c r="E26" s="210">
        <v>505</v>
      </c>
      <c r="F26" s="211"/>
      <c r="G26" s="212"/>
      <c r="H26" s="205">
        <v>2150</v>
      </c>
      <c r="I26" s="206">
        <v>500</v>
      </c>
      <c r="J26" s="197"/>
      <c r="K26" s="213"/>
      <c r="L26" s="215">
        <f t="shared" si="0"/>
        <v>0</v>
      </c>
      <c r="M26" s="215">
        <f t="shared" si="1"/>
        <v>5</v>
      </c>
      <c r="N26" s="215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197">
        <f t="shared" si="2"/>
        <v>5</v>
      </c>
      <c r="AA26"/>
      <c r="AB26" s="84"/>
      <c r="AC26" s="90"/>
      <c r="AD26" s="91"/>
      <c r="AE26" s="92"/>
    </row>
    <row r="27" spans="1:31" s="149" customFormat="1" ht="16" thickBot="1" x14ac:dyDescent="0.25">
      <c r="A27" s="207">
        <v>5411</v>
      </c>
      <c r="B27" s="208" t="s">
        <v>41</v>
      </c>
      <c r="C27" s="209">
        <v>230</v>
      </c>
      <c r="D27" s="3">
        <v>11500</v>
      </c>
      <c r="E27" s="210">
        <v>11135</v>
      </c>
      <c r="F27" s="211"/>
      <c r="G27" s="212"/>
      <c r="H27" s="205">
        <v>9867.57</v>
      </c>
      <c r="I27" s="206">
        <v>1632.43</v>
      </c>
      <c r="J27" s="197"/>
      <c r="K27" s="213"/>
      <c r="L27" s="215">
        <f t="shared" si="0"/>
        <v>1632.4300000000003</v>
      </c>
      <c r="M27" s="215">
        <f t="shared" si="1"/>
        <v>9502.57</v>
      </c>
      <c r="N27" s="215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197">
        <f t="shared" si="2"/>
        <v>11135</v>
      </c>
      <c r="AA27"/>
      <c r="AB27" s="84"/>
      <c r="AC27" s="90"/>
      <c r="AD27" s="91"/>
      <c r="AE27" s="92"/>
    </row>
    <row r="28" spans="1:31" ht="16" thickBot="1" x14ac:dyDescent="0.25">
      <c r="A28" s="198">
        <v>5910</v>
      </c>
      <c r="B28" s="199" t="s">
        <v>42</v>
      </c>
      <c r="C28" s="188">
        <v>17</v>
      </c>
      <c r="D28" s="3">
        <v>850</v>
      </c>
      <c r="E28" s="200">
        <v>85</v>
      </c>
      <c r="F28" s="201"/>
      <c r="G28" s="202"/>
      <c r="H28" s="192">
        <v>850</v>
      </c>
      <c r="I28" s="203"/>
      <c r="J28" s="204"/>
      <c r="K28" s="195"/>
      <c r="L28" s="196">
        <f t="shared" si="0"/>
        <v>0</v>
      </c>
      <c r="M28" s="196">
        <f t="shared" si="1"/>
        <v>85</v>
      </c>
      <c r="N28" s="196"/>
      <c r="O28" s="1"/>
      <c r="P28" s="1">
        <v>850</v>
      </c>
      <c r="Q28" s="1"/>
      <c r="R28" s="1"/>
      <c r="S28" s="1">
        <v>-850</v>
      </c>
      <c r="T28" s="1"/>
      <c r="U28" s="1"/>
      <c r="V28" s="1"/>
      <c r="W28" s="1"/>
      <c r="X28" s="1"/>
      <c r="Y28" s="197">
        <f t="shared" si="2"/>
        <v>85</v>
      </c>
      <c r="AB28" s="84"/>
      <c r="AC28" s="90"/>
      <c r="AD28" s="91"/>
      <c r="AE28" s="92"/>
    </row>
    <row r="29" spans="1:31" ht="16" thickBot="1" x14ac:dyDescent="0.25">
      <c r="A29" s="198">
        <v>5496</v>
      </c>
      <c r="B29" s="199" t="s">
        <v>43</v>
      </c>
      <c r="C29" s="188">
        <v>34</v>
      </c>
      <c r="D29" s="3">
        <v>1700</v>
      </c>
      <c r="E29" s="200"/>
      <c r="F29" s="201"/>
      <c r="G29" s="202"/>
      <c r="H29" s="192"/>
      <c r="I29" s="203"/>
      <c r="J29" s="204"/>
      <c r="K29" s="195"/>
      <c r="L29" s="196">
        <f t="shared" si="0"/>
        <v>1700</v>
      </c>
      <c r="M29" s="196">
        <f t="shared" si="1"/>
        <v>0</v>
      </c>
      <c r="N29" s="196"/>
      <c r="O29" s="1"/>
      <c r="P29" s="1"/>
      <c r="Q29" s="1"/>
      <c r="R29" s="1"/>
      <c r="S29" s="1"/>
      <c r="T29" s="1"/>
      <c r="U29" s="1"/>
      <c r="V29" s="1"/>
      <c r="W29" s="1"/>
      <c r="X29" s="1"/>
      <c r="Y29" s="197">
        <f t="shared" si="2"/>
        <v>1700</v>
      </c>
      <c r="AB29" s="84"/>
      <c r="AC29" s="90"/>
      <c r="AD29" s="91"/>
      <c r="AE29" s="92"/>
    </row>
    <row r="30" spans="1:31" ht="16" thickBot="1" x14ac:dyDescent="0.25">
      <c r="A30" s="198">
        <v>5503</v>
      </c>
      <c r="B30" s="199" t="s">
        <v>44</v>
      </c>
      <c r="C30" s="188">
        <v>48</v>
      </c>
      <c r="D30" s="3">
        <v>2400</v>
      </c>
      <c r="E30" s="200">
        <v>0</v>
      </c>
      <c r="F30" s="201"/>
      <c r="G30" s="202"/>
      <c r="H30" s="192">
        <v>2400</v>
      </c>
      <c r="I30" s="203"/>
      <c r="J30" s="204"/>
      <c r="K30" s="195"/>
      <c r="L30" s="196">
        <f t="shared" si="0"/>
        <v>0</v>
      </c>
      <c r="M30" s="196">
        <f t="shared" si="1"/>
        <v>0</v>
      </c>
      <c r="N30" s="196"/>
      <c r="O30" s="1"/>
      <c r="P30" s="1"/>
      <c r="Q30" s="1"/>
      <c r="R30" s="1"/>
      <c r="S30" s="1"/>
      <c r="T30" s="1"/>
      <c r="U30" s="1"/>
      <c r="V30" s="1"/>
      <c r="W30" s="1"/>
      <c r="X30" s="1"/>
      <c r="Y30" s="197">
        <f t="shared" si="2"/>
        <v>0</v>
      </c>
      <c r="AB30" s="84"/>
      <c r="AC30" s="90"/>
      <c r="AD30" s="91"/>
      <c r="AE30" s="92"/>
    </row>
    <row r="31" spans="1:31" s="149" customFormat="1" ht="16" thickBot="1" x14ac:dyDescent="0.25">
      <c r="A31" s="207">
        <v>5493</v>
      </c>
      <c r="B31" s="208" t="s">
        <v>1129</v>
      </c>
      <c r="C31" s="209">
        <v>40</v>
      </c>
      <c r="D31" s="5">
        <v>2000</v>
      </c>
      <c r="E31" s="210">
        <v>200</v>
      </c>
      <c r="F31" s="211"/>
      <c r="G31" s="212"/>
      <c r="H31" s="205"/>
      <c r="I31" s="206"/>
      <c r="J31" s="197"/>
      <c r="K31" s="213"/>
      <c r="L31" s="215">
        <f t="shared" si="0"/>
        <v>2000</v>
      </c>
      <c r="M31" s="215">
        <f t="shared" si="1"/>
        <v>200</v>
      </c>
      <c r="N31" s="215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197">
        <f>L31+M31+P31+S31+T31+U31</f>
        <v>2200</v>
      </c>
      <c r="AB31" s="158"/>
      <c r="AC31" s="98"/>
      <c r="AD31" s="99"/>
      <c r="AE31" s="100"/>
    </row>
    <row r="32" spans="1:31" s="149" customFormat="1" ht="16" thickBot="1" x14ac:dyDescent="0.25">
      <c r="A32" s="207">
        <v>5917</v>
      </c>
      <c r="B32" s="208" t="s">
        <v>45</v>
      </c>
      <c r="C32" s="209">
        <v>11</v>
      </c>
      <c r="D32" s="5">
        <v>550</v>
      </c>
      <c r="E32" s="210">
        <v>1900</v>
      </c>
      <c r="F32" s="211"/>
      <c r="G32" s="212"/>
      <c r="H32" s="205">
        <v>550</v>
      </c>
      <c r="I32" s="206">
        <v>1000</v>
      </c>
      <c r="J32" s="197"/>
      <c r="K32" s="213"/>
      <c r="L32" s="215">
        <f t="shared" si="0"/>
        <v>0</v>
      </c>
      <c r="M32" s="215">
        <f t="shared" si="1"/>
        <v>900</v>
      </c>
      <c r="N32" s="215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197">
        <f t="shared" si="2"/>
        <v>900</v>
      </c>
      <c r="AA32"/>
      <c r="AB32" s="84"/>
      <c r="AC32" s="90"/>
      <c r="AD32" s="91"/>
      <c r="AE32" s="92"/>
    </row>
    <row r="33" spans="1:31" ht="16" thickBot="1" x14ac:dyDescent="0.25">
      <c r="A33" s="198"/>
      <c r="B33" s="199" t="s">
        <v>585</v>
      </c>
      <c r="C33" s="188">
        <v>51</v>
      </c>
      <c r="D33" s="3">
        <v>2550</v>
      </c>
      <c r="E33" s="200">
        <v>255</v>
      </c>
      <c r="F33" s="201"/>
      <c r="G33" s="202"/>
      <c r="H33" s="192"/>
      <c r="I33" s="203"/>
      <c r="J33" s="204"/>
      <c r="K33" s="195"/>
      <c r="L33" s="196">
        <f t="shared" si="0"/>
        <v>2550</v>
      </c>
      <c r="M33" s="196">
        <f t="shared" si="1"/>
        <v>255</v>
      </c>
      <c r="N33" s="196"/>
      <c r="O33" s="1"/>
      <c r="P33" s="1"/>
      <c r="Q33" s="1"/>
      <c r="R33" s="1"/>
      <c r="S33" s="1"/>
      <c r="T33" s="1"/>
      <c r="U33" s="1"/>
      <c r="V33" s="1"/>
      <c r="W33" s="1"/>
      <c r="X33" s="1"/>
      <c r="Y33" s="197">
        <f t="shared" si="2"/>
        <v>2805</v>
      </c>
      <c r="AB33" s="84"/>
      <c r="AC33" s="90"/>
      <c r="AD33" s="91"/>
      <c r="AE33" s="92"/>
    </row>
    <row r="34" spans="1:31" s="273" customFormat="1" ht="16" thickBot="1" x14ac:dyDescent="0.25">
      <c r="A34" s="260">
        <v>5506</v>
      </c>
      <c r="B34" s="261" t="s">
        <v>46</v>
      </c>
      <c r="C34" s="262">
        <v>137</v>
      </c>
      <c r="D34" s="290">
        <v>6850</v>
      </c>
      <c r="E34" s="264">
        <v>4320</v>
      </c>
      <c r="F34" s="265"/>
      <c r="G34" s="266"/>
      <c r="H34" s="267">
        <v>6100</v>
      </c>
      <c r="I34" s="268">
        <v>4320</v>
      </c>
      <c r="J34" s="269"/>
      <c r="K34" s="270"/>
      <c r="L34" s="271">
        <f t="shared" si="0"/>
        <v>750</v>
      </c>
      <c r="M34" s="271">
        <f t="shared" si="1"/>
        <v>0</v>
      </c>
      <c r="N34" s="271"/>
      <c r="O34" s="272"/>
      <c r="P34" s="272"/>
      <c r="Q34" s="272"/>
      <c r="R34" s="272"/>
      <c r="S34" s="272"/>
      <c r="T34" s="272"/>
      <c r="U34" s="272"/>
      <c r="V34" s="272"/>
      <c r="W34" s="272"/>
      <c r="X34" s="272"/>
      <c r="Y34" s="269">
        <f t="shared" si="2"/>
        <v>750</v>
      </c>
      <c r="AA34" s="274"/>
      <c r="AB34" s="275"/>
      <c r="AC34" s="276"/>
      <c r="AD34" s="277"/>
      <c r="AE34" s="278"/>
    </row>
    <row r="35" spans="1:31" ht="16" thickBot="1" x14ac:dyDescent="0.25">
      <c r="A35" s="198">
        <v>5509</v>
      </c>
      <c r="B35" s="199" t="s">
        <v>47</v>
      </c>
      <c r="C35" s="188">
        <v>26</v>
      </c>
      <c r="D35" s="3">
        <v>1300</v>
      </c>
      <c r="E35" s="200">
        <v>355</v>
      </c>
      <c r="F35" s="201"/>
      <c r="G35" s="202"/>
      <c r="H35" s="192">
        <v>1300</v>
      </c>
      <c r="I35" s="203">
        <v>350</v>
      </c>
      <c r="J35" s="204"/>
      <c r="K35" s="195"/>
      <c r="L35" s="196">
        <f t="shared" si="0"/>
        <v>0</v>
      </c>
      <c r="M35" s="196">
        <f t="shared" si="1"/>
        <v>5</v>
      </c>
      <c r="N35" s="196"/>
      <c r="O35" s="1"/>
      <c r="P35" s="1"/>
      <c r="Q35" s="1"/>
      <c r="R35" s="1"/>
      <c r="S35" s="1"/>
      <c r="T35" s="1"/>
      <c r="U35" s="1"/>
      <c r="V35" s="1"/>
      <c r="W35" s="1"/>
      <c r="X35" s="1"/>
      <c r="Y35" s="197">
        <f t="shared" si="2"/>
        <v>5</v>
      </c>
      <c r="AB35" s="84"/>
      <c r="AC35" s="90"/>
      <c r="AD35" s="91"/>
      <c r="AE35" s="92"/>
    </row>
    <row r="36" spans="1:31" s="149" customFormat="1" ht="16" thickBot="1" x14ac:dyDescent="0.25">
      <c r="A36" s="207">
        <v>5510</v>
      </c>
      <c r="B36" s="208" t="s">
        <v>48</v>
      </c>
      <c r="C36" s="209">
        <v>47</v>
      </c>
      <c r="D36" s="3">
        <v>2350</v>
      </c>
      <c r="E36" s="210">
        <v>1850</v>
      </c>
      <c r="F36" s="211"/>
      <c r="G36" s="212"/>
      <c r="H36" s="205">
        <v>2450</v>
      </c>
      <c r="I36" s="206">
        <v>1847</v>
      </c>
      <c r="J36" s="197"/>
      <c r="K36" s="213"/>
      <c r="L36" s="215">
        <f t="shared" si="0"/>
        <v>-100</v>
      </c>
      <c r="M36" s="215">
        <f t="shared" si="1"/>
        <v>3</v>
      </c>
      <c r="N36" s="215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197">
        <f t="shared" si="2"/>
        <v>-97</v>
      </c>
      <c r="AA36"/>
      <c r="AB36" s="84"/>
      <c r="AC36" s="90"/>
      <c r="AD36" s="91"/>
      <c r="AE36" s="92"/>
    </row>
    <row r="37" spans="1:31" s="273" customFormat="1" ht="16" thickBot="1" x14ac:dyDescent="0.25">
      <c r="A37" s="260">
        <v>5511</v>
      </c>
      <c r="B37" s="261" t="s">
        <v>49</v>
      </c>
      <c r="C37" s="262">
        <v>186</v>
      </c>
      <c r="D37" s="263">
        <v>6318</v>
      </c>
      <c r="E37" s="264">
        <v>348</v>
      </c>
      <c r="F37" s="265"/>
      <c r="G37" s="266"/>
      <c r="H37" s="267">
        <v>6060</v>
      </c>
      <c r="I37" s="268">
        <v>0</v>
      </c>
      <c r="J37" s="269"/>
      <c r="K37" s="270"/>
      <c r="L37" s="271">
        <f t="shared" si="0"/>
        <v>258</v>
      </c>
      <c r="M37" s="271">
        <f t="shared" si="1"/>
        <v>348</v>
      </c>
      <c r="N37" s="271"/>
      <c r="O37" s="272"/>
      <c r="P37" s="272"/>
      <c r="Q37" s="272"/>
      <c r="R37" s="272"/>
      <c r="S37" s="272"/>
      <c r="T37" s="272"/>
      <c r="U37" s="272"/>
      <c r="V37" s="272"/>
      <c r="W37" s="272"/>
      <c r="X37" s="272"/>
      <c r="Y37" s="269">
        <f t="shared" si="2"/>
        <v>606</v>
      </c>
      <c r="AA37" s="274"/>
      <c r="AB37" s="275"/>
      <c r="AC37" s="276"/>
      <c r="AD37" s="277"/>
      <c r="AE37" s="278"/>
    </row>
    <row r="38" spans="1:31" ht="16" thickBot="1" x14ac:dyDescent="0.25">
      <c r="A38" s="198">
        <v>5911</v>
      </c>
      <c r="B38" s="199" t="s">
        <v>50</v>
      </c>
      <c r="C38" s="188">
        <v>41</v>
      </c>
      <c r="D38" s="3">
        <v>2050</v>
      </c>
      <c r="E38" s="200">
        <v>2705</v>
      </c>
      <c r="F38" s="201"/>
      <c r="G38" s="202"/>
      <c r="H38" s="192">
        <v>2050</v>
      </c>
      <c r="I38" s="203"/>
      <c r="J38" s="204"/>
      <c r="K38" s="195"/>
      <c r="L38" s="196">
        <f t="shared" ref="L38:L56" si="3">D38-H38</f>
        <v>0</v>
      </c>
      <c r="M38" s="196">
        <f t="shared" ref="M38:M56" si="4">E38-I38</f>
        <v>2705</v>
      </c>
      <c r="N38" s="196"/>
      <c r="O38" s="1"/>
      <c r="P38" s="1"/>
      <c r="Q38" s="1"/>
      <c r="R38" s="1"/>
      <c r="S38" s="1"/>
      <c r="T38" s="1"/>
      <c r="U38" s="1"/>
      <c r="V38" s="1"/>
      <c r="W38" s="1"/>
      <c r="X38" s="1"/>
      <c r="Y38" s="197">
        <f t="shared" si="2"/>
        <v>2705</v>
      </c>
      <c r="AB38" s="84"/>
      <c r="AC38" s="90"/>
      <c r="AD38" s="91"/>
      <c r="AE38" s="92"/>
    </row>
    <row r="39" spans="1:31" s="149" customFormat="1" ht="16" thickBot="1" x14ac:dyDescent="0.25">
      <c r="A39" s="207">
        <v>5512</v>
      </c>
      <c r="B39" s="208" t="s">
        <v>1130</v>
      </c>
      <c r="C39" s="209">
        <v>86</v>
      </c>
      <c r="D39" s="3">
        <v>4300</v>
      </c>
      <c r="E39" s="210">
        <v>2540</v>
      </c>
      <c r="F39" s="211"/>
      <c r="G39" s="212"/>
      <c r="H39" s="205">
        <v>4300</v>
      </c>
      <c r="I39" s="206">
        <v>2535</v>
      </c>
      <c r="J39" s="197"/>
      <c r="K39" s="213"/>
      <c r="L39" s="215">
        <f t="shared" si="3"/>
        <v>0</v>
      </c>
      <c r="M39" s="215">
        <f t="shared" si="4"/>
        <v>5</v>
      </c>
      <c r="N39" s="215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197">
        <f t="shared" si="2"/>
        <v>5</v>
      </c>
      <c r="AA39"/>
      <c r="AB39" s="84"/>
      <c r="AC39" s="90"/>
      <c r="AD39" s="91"/>
      <c r="AE39" s="92"/>
    </row>
    <row r="40" spans="1:31" ht="16" thickBot="1" x14ac:dyDescent="0.25">
      <c r="A40" s="198">
        <v>5513</v>
      </c>
      <c r="B40" s="199" t="s">
        <v>51</v>
      </c>
      <c r="C40" s="188">
        <v>119</v>
      </c>
      <c r="D40" s="3">
        <v>5950</v>
      </c>
      <c r="E40" s="200">
        <v>6115</v>
      </c>
      <c r="F40" s="201"/>
      <c r="G40" s="202"/>
      <c r="H40" s="192">
        <v>6050</v>
      </c>
      <c r="I40" s="206">
        <v>6110</v>
      </c>
      <c r="J40" s="204"/>
      <c r="K40" s="195"/>
      <c r="L40" s="196">
        <f t="shared" si="3"/>
        <v>-100</v>
      </c>
      <c r="M40" s="196">
        <f t="shared" si="4"/>
        <v>5</v>
      </c>
      <c r="N40" s="196"/>
      <c r="O40" s="1"/>
      <c r="P40" s="1"/>
      <c r="Q40" s="1"/>
      <c r="R40" s="1"/>
      <c r="S40" s="1"/>
      <c r="T40" s="1"/>
      <c r="U40" s="1"/>
      <c r="V40" s="1"/>
      <c r="W40" s="1"/>
      <c r="X40" s="1"/>
      <c r="Y40" s="197">
        <f t="shared" si="2"/>
        <v>-95</v>
      </c>
      <c r="AB40" s="84"/>
      <c r="AC40" s="90"/>
      <c r="AD40" s="91"/>
      <c r="AE40" s="92"/>
    </row>
    <row r="41" spans="1:31" s="149" customFormat="1" ht="16" thickBot="1" x14ac:dyDescent="0.25">
      <c r="A41" s="207">
        <v>10301</v>
      </c>
      <c r="B41" s="208" t="s">
        <v>52</v>
      </c>
      <c r="C41" s="209">
        <v>75</v>
      </c>
      <c r="D41" s="3">
        <v>3750</v>
      </c>
      <c r="E41" s="210">
        <v>0</v>
      </c>
      <c r="F41" s="211"/>
      <c r="G41" s="212"/>
      <c r="H41" s="205">
        <v>1910</v>
      </c>
      <c r="I41" s="206"/>
      <c r="J41" s="197"/>
      <c r="K41" s="213"/>
      <c r="L41" s="215">
        <f t="shared" si="3"/>
        <v>1840</v>
      </c>
      <c r="M41" s="215">
        <f t="shared" si="4"/>
        <v>0</v>
      </c>
      <c r="N41" s="215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197">
        <f t="shared" si="2"/>
        <v>1840</v>
      </c>
      <c r="AA41"/>
      <c r="AB41" s="84"/>
      <c r="AC41" s="90"/>
      <c r="AD41" s="91"/>
      <c r="AE41" s="92"/>
    </row>
    <row r="42" spans="1:31" ht="16" thickBot="1" x14ac:dyDescent="0.25">
      <c r="A42" s="198">
        <v>5912</v>
      </c>
      <c r="B42" s="199" t="s">
        <v>53</v>
      </c>
      <c r="C42" s="188">
        <v>14</v>
      </c>
      <c r="D42" s="3">
        <v>700</v>
      </c>
      <c r="E42" s="200">
        <v>140</v>
      </c>
      <c r="F42" s="201"/>
      <c r="G42" s="202"/>
      <c r="H42" s="192">
        <v>100</v>
      </c>
      <c r="I42" s="203"/>
      <c r="J42" s="204"/>
      <c r="K42" s="195"/>
      <c r="L42" s="196">
        <f t="shared" si="3"/>
        <v>600</v>
      </c>
      <c r="M42" s="196">
        <f t="shared" si="4"/>
        <v>140</v>
      </c>
      <c r="N42" s="196"/>
      <c r="O42" s="1"/>
      <c r="P42" s="1"/>
      <c r="Q42" s="1"/>
      <c r="R42" s="1"/>
      <c r="S42" s="1"/>
      <c r="T42" s="1"/>
      <c r="U42" s="1"/>
      <c r="V42" s="1"/>
      <c r="W42" s="1"/>
      <c r="X42" s="1"/>
      <c r="Y42" s="197">
        <f t="shared" si="2"/>
        <v>740</v>
      </c>
      <c r="AB42" s="84"/>
      <c r="AC42" s="90"/>
      <c r="AD42" s="91"/>
      <c r="AE42" s="92"/>
    </row>
    <row r="43" spans="1:31" s="273" customFormat="1" ht="16" thickBot="1" x14ac:dyDescent="0.25">
      <c r="A43" s="260">
        <v>5913</v>
      </c>
      <c r="B43" s="261" t="s">
        <v>54</v>
      </c>
      <c r="C43" s="262">
        <v>41</v>
      </c>
      <c r="D43" s="263">
        <v>2050</v>
      </c>
      <c r="E43" s="264">
        <v>6310</v>
      </c>
      <c r="F43" s="265"/>
      <c r="G43" s="266"/>
      <c r="H43" s="267">
        <v>2300</v>
      </c>
      <c r="I43" s="268">
        <v>6308</v>
      </c>
      <c r="J43" s="269"/>
      <c r="K43" s="270"/>
      <c r="L43" s="271">
        <f t="shared" si="3"/>
        <v>-250</v>
      </c>
      <c r="M43" s="271">
        <f t="shared" si="4"/>
        <v>2</v>
      </c>
      <c r="N43" s="271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269">
        <f t="shared" si="2"/>
        <v>-248</v>
      </c>
      <c r="AA43" s="274"/>
      <c r="AB43" s="275"/>
      <c r="AC43" s="276"/>
      <c r="AD43" s="277"/>
      <c r="AE43" s="278"/>
    </row>
    <row r="44" spans="1:31" ht="16" thickBot="1" x14ac:dyDescent="0.25">
      <c r="A44" s="198"/>
      <c r="B44" s="199" t="s">
        <v>755</v>
      </c>
      <c r="C44" s="188">
        <v>12</v>
      </c>
      <c r="D44" s="3">
        <v>600</v>
      </c>
      <c r="E44" s="200">
        <v>60</v>
      </c>
      <c r="F44" s="201"/>
      <c r="G44" s="202"/>
      <c r="H44" s="192"/>
      <c r="I44" s="203"/>
      <c r="J44" s="204"/>
      <c r="K44" s="195"/>
      <c r="L44" s="215">
        <f t="shared" si="3"/>
        <v>600</v>
      </c>
      <c r="M44" s="215">
        <f t="shared" si="4"/>
        <v>60</v>
      </c>
      <c r="N44" s="215"/>
      <c r="O44" s="1"/>
      <c r="P44" s="1"/>
      <c r="Q44" s="1"/>
      <c r="R44" s="1"/>
      <c r="S44" s="1"/>
      <c r="T44" s="1"/>
      <c r="U44" s="1"/>
      <c r="V44" s="1"/>
      <c r="W44" s="1"/>
      <c r="X44" s="1"/>
      <c r="Y44" s="197">
        <f t="shared" si="2"/>
        <v>660</v>
      </c>
      <c r="AB44" s="84"/>
      <c r="AC44" s="90"/>
      <c r="AD44" s="91"/>
      <c r="AE44" s="92"/>
    </row>
    <row r="45" spans="1:31" s="149" customFormat="1" ht="16" thickBot="1" x14ac:dyDescent="0.25">
      <c r="A45" s="207">
        <v>5914</v>
      </c>
      <c r="B45" s="208" t="s">
        <v>55</v>
      </c>
      <c r="C45" s="209">
        <v>28</v>
      </c>
      <c r="D45" s="3">
        <v>1400</v>
      </c>
      <c r="E45" s="210">
        <v>3810</v>
      </c>
      <c r="F45" s="211"/>
      <c r="G45" s="212"/>
      <c r="H45" s="205">
        <v>1400</v>
      </c>
      <c r="I45" s="206">
        <v>3810</v>
      </c>
      <c r="J45" s="197"/>
      <c r="K45" s="213"/>
      <c r="L45" s="215">
        <f t="shared" si="3"/>
        <v>0</v>
      </c>
      <c r="M45" s="215">
        <f t="shared" si="4"/>
        <v>0</v>
      </c>
      <c r="N45" s="215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197">
        <f t="shared" si="2"/>
        <v>0</v>
      </c>
      <c r="AA45"/>
      <c r="AB45" s="84"/>
      <c r="AC45" s="90"/>
      <c r="AD45" s="91"/>
      <c r="AE45" s="92"/>
    </row>
    <row r="46" spans="1:31" s="149" customFormat="1" ht="16" thickBot="1" x14ac:dyDescent="0.25">
      <c r="A46" s="207">
        <v>5523</v>
      </c>
      <c r="B46" s="208" t="s">
        <v>56</v>
      </c>
      <c r="C46" s="209">
        <v>42</v>
      </c>
      <c r="D46" s="3">
        <v>2100</v>
      </c>
      <c r="E46" s="210">
        <v>260</v>
      </c>
      <c r="F46" s="211"/>
      <c r="G46" s="212"/>
      <c r="H46" s="205">
        <v>2100</v>
      </c>
      <c r="I46" s="206">
        <v>0</v>
      </c>
      <c r="J46" s="197"/>
      <c r="K46" s="213"/>
      <c r="L46" s="215">
        <f t="shared" si="3"/>
        <v>0</v>
      </c>
      <c r="M46" s="215">
        <f t="shared" si="4"/>
        <v>260</v>
      </c>
      <c r="N46" s="215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197">
        <f t="shared" si="2"/>
        <v>260</v>
      </c>
      <c r="AA46"/>
      <c r="AB46" s="84"/>
      <c r="AC46" s="90"/>
      <c r="AD46" s="91"/>
      <c r="AE46" s="92"/>
    </row>
    <row r="47" spans="1:31" s="149" customFormat="1" ht="16" thickBot="1" x14ac:dyDescent="0.25">
      <c r="A47" s="260">
        <v>5518</v>
      </c>
      <c r="B47" s="261" t="s">
        <v>57</v>
      </c>
      <c r="C47" s="262">
        <v>59</v>
      </c>
      <c r="D47" s="263">
        <v>2950</v>
      </c>
      <c r="E47" s="264">
        <v>5550</v>
      </c>
      <c r="F47" s="265"/>
      <c r="G47" s="266"/>
      <c r="H47" s="267">
        <v>2950</v>
      </c>
      <c r="I47" s="268">
        <v>5550</v>
      </c>
      <c r="J47" s="269"/>
      <c r="K47" s="270"/>
      <c r="L47" s="271">
        <f t="shared" si="3"/>
        <v>0</v>
      </c>
      <c r="M47" s="271">
        <f t="shared" si="4"/>
        <v>0</v>
      </c>
      <c r="N47" s="271"/>
      <c r="O47" s="272"/>
      <c r="P47" s="272"/>
      <c r="Q47" s="272"/>
      <c r="R47" s="272"/>
      <c r="S47" s="272"/>
      <c r="T47" s="272"/>
      <c r="U47" s="272"/>
      <c r="V47" s="272"/>
      <c r="W47" s="272"/>
      <c r="X47" s="272"/>
      <c r="Y47" s="269">
        <f t="shared" si="2"/>
        <v>0</v>
      </c>
      <c r="AA47"/>
      <c r="AB47" s="84"/>
      <c r="AC47" s="90"/>
      <c r="AD47" s="91"/>
      <c r="AE47" s="92"/>
    </row>
    <row r="48" spans="1:31" s="274" customFormat="1" ht="16" thickBot="1" x14ac:dyDescent="0.25">
      <c r="A48" s="279">
        <v>5520</v>
      </c>
      <c r="B48" s="280" t="s">
        <v>58</v>
      </c>
      <c r="C48" s="281">
        <v>22</v>
      </c>
      <c r="D48" s="263">
        <v>1100</v>
      </c>
      <c r="E48" s="282">
        <v>110</v>
      </c>
      <c r="F48" s="283"/>
      <c r="G48" s="284"/>
      <c r="H48" s="285">
        <v>1000</v>
      </c>
      <c r="I48" s="286"/>
      <c r="J48" s="287"/>
      <c r="K48" s="288"/>
      <c r="L48" s="289">
        <f t="shared" si="3"/>
        <v>100</v>
      </c>
      <c r="M48" s="289">
        <f t="shared" si="4"/>
        <v>110</v>
      </c>
      <c r="N48" s="289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269">
        <f t="shared" si="2"/>
        <v>210</v>
      </c>
      <c r="AB48" s="275"/>
      <c r="AC48" s="276"/>
      <c r="AD48" s="277"/>
      <c r="AE48" s="278"/>
    </row>
    <row r="49" spans="1:31" s="79" customFormat="1" ht="16" thickBot="1" x14ac:dyDescent="0.25">
      <c r="A49" s="291">
        <v>5521</v>
      </c>
      <c r="B49" s="292" t="s">
        <v>59</v>
      </c>
      <c r="C49" s="293">
        <v>157</v>
      </c>
      <c r="D49" s="294">
        <v>8050</v>
      </c>
      <c r="E49" s="295"/>
      <c r="F49" s="296"/>
      <c r="G49" s="297"/>
      <c r="H49" s="298">
        <v>8050</v>
      </c>
      <c r="I49" s="299"/>
      <c r="J49" s="300"/>
      <c r="K49" s="301"/>
      <c r="L49" s="302">
        <f t="shared" si="3"/>
        <v>0</v>
      </c>
      <c r="M49" s="302">
        <f t="shared" si="4"/>
        <v>0</v>
      </c>
      <c r="N49" s="302"/>
      <c r="O49" s="303"/>
      <c r="P49" s="303">
        <v>2012.5</v>
      </c>
      <c r="Q49" s="303"/>
      <c r="R49" s="303"/>
      <c r="S49" s="303">
        <v>-2012.5</v>
      </c>
      <c r="T49" s="303"/>
      <c r="U49" s="303"/>
      <c r="V49" s="303"/>
      <c r="W49" s="303"/>
      <c r="X49" s="303"/>
      <c r="Y49" s="304">
        <f t="shared" si="2"/>
        <v>0</v>
      </c>
      <c r="AB49" s="305"/>
      <c r="AC49" s="306"/>
      <c r="AD49" s="307"/>
      <c r="AE49" s="308"/>
    </row>
    <row r="50" spans="1:31" s="149" customFormat="1" ht="16" thickBot="1" x14ac:dyDescent="0.25">
      <c r="A50" s="207">
        <v>5915</v>
      </c>
      <c r="B50" s="208" t="s">
        <v>60</v>
      </c>
      <c r="C50" s="209">
        <v>38</v>
      </c>
      <c r="D50" s="3">
        <v>1900</v>
      </c>
      <c r="E50" s="210">
        <v>1505</v>
      </c>
      <c r="F50" s="211"/>
      <c r="G50" s="212"/>
      <c r="H50" s="205">
        <v>1900.44</v>
      </c>
      <c r="I50" s="206">
        <v>1500</v>
      </c>
      <c r="J50" s="197"/>
      <c r="K50" s="213"/>
      <c r="L50" s="215">
        <f t="shared" si="3"/>
        <v>-0.44000000000005457</v>
      </c>
      <c r="M50" s="215">
        <f t="shared" si="4"/>
        <v>5</v>
      </c>
      <c r="N50" s="215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197">
        <f t="shared" si="2"/>
        <v>4.5599999999999454</v>
      </c>
      <c r="AA50"/>
      <c r="AB50" s="84"/>
      <c r="AC50" s="90"/>
      <c r="AD50" s="91"/>
      <c r="AE50" s="92"/>
    </row>
    <row r="51" spans="1:31" s="320" customFormat="1" ht="16" thickBot="1" x14ac:dyDescent="0.25">
      <c r="A51" s="309">
        <v>5524</v>
      </c>
      <c r="B51" s="310" t="s">
        <v>61</v>
      </c>
      <c r="C51" s="311">
        <v>79</v>
      </c>
      <c r="D51" s="294">
        <v>3950</v>
      </c>
      <c r="E51" s="312">
        <v>4405</v>
      </c>
      <c r="F51" s="313"/>
      <c r="G51" s="314"/>
      <c r="H51" s="315">
        <v>3852</v>
      </c>
      <c r="I51" s="316">
        <v>4404</v>
      </c>
      <c r="J51" s="304"/>
      <c r="K51" s="317"/>
      <c r="L51" s="318">
        <f t="shared" si="3"/>
        <v>98</v>
      </c>
      <c r="M51" s="318">
        <f t="shared" si="4"/>
        <v>1</v>
      </c>
      <c r="N51" s="318"/>
      <c r="O51" s="319"/>
      <c r="P51" s="319"/>
      <c r="Q51" s="319"/>
      <c r="R51" s="319"/>
      <c r="S51" s="319"/>
      <c r="T51" s="319"/>
      <c r="U51" s="319"/>
      <c r="V51" s="319"/>
      <c r="W51" s="319"/>
      <c r="X51" s="319"/>
      <c r="Y51" s="304">
        <f t="shared" si="2"/>
        <v>99</v>
      </c>
      <c r="AA51" s="79"/>
      <c r="AB51" s="305"/>
      <c r="AC51" s="306"/>
      <c r="AD51" s="307"/>
      <c r="AE51" s="308"/>
    </row>
    <row r="52" spans="1:31" ht="16" thickBot="1" x14ac:dyDescent="0.25">
      <c r="A52" s="198">
        <v>5504</v>
      </c>
      <c r="B52" s="199" t="s">
        <v>2457</v>
      </c>
      <c r="C52" s="188">
        <v>31</v>
      </c>
      <c r="D52" s="3">
        <v>1550</v>
      </c>
      <c r="E52" s="200">
        <v>500</v>
      </c>
      <c r="F52" s="201"/>
      <c r="G52" s="202"/>
      <c r="H52" s="192">
        <v>150</v>
      </c>
      <c r="I52" s="203">
        <v>500</v>
      </c>
      <c r="J52" s="204"/>
      <c r="K52" s="195"/>
      <c r="L52" s="196">
        <f t="shared" si="3"/>
        <v>1400</v>
      </c>
      <c r="M52" s="196">
        <f t="shared" si="4"/>
        <v>0</v>
      </c>
      <c r="N52" s="196"/>
      <c r="O52" s="1"/>
      <c r="P52" s="1"/>
      <c r="Q52" s="1"/>
      <c r="R52" s="1"/>
      <c r="S52" s="1"/>
      <c r="T52" s="1"/>
      <c r="U52" s="1"/>
      <c r="V52" s="1"/>
      <c r="W52" s="1"/>
      <c r="X52" s="1"/>
      <c r="Y52" s="197">
        <f>L52+M52+P52+S52+T52+U52</f>
        <v>1400</v>
      </c>
      <c r="AB52" s="84"/>
      <c r="AC52" s="90"/>
      <c r="AD52" s="91"/>
      <c r="AE52" s="92"/>
    </row>
    <row r="53" spans="1:31" s="149" customFormat="1" ht="16" thickBot="1" x14ac:dyDescent="0.25">
      <c r="A53" s="207">
        <v>5525</v>
      </c>
      <c r="B53" s="208" t="s">
        <v>62</v>
      </c>
      <c r="C53" s="209">
        <v>66</v>
      </c>
      <c r="D53" s="3">
        <v>3300</v>
      </c>
      <c r="E53" s="210">
        <v>660</v>
      </c>
      <c r="F53" s="211"/>
      <c r="G53" s="212"/>
      <c r="H53" s="205">
        <v>2000</v>
      </c>
      <c r="I53" s="206"/>
      <c r="J53" s="197"/>
      <c r="K53" s="213"/>
      <c r="L53" s="215">
        <f t="shared" si="3"/>
        <v>1300</v>
      </c>
      <c r="M53" s="215">
        <f t="shared" si="4"/>
        <v>660</v>
      </c>
      <c r="N53" s="215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197">
        <f t="shared" si="2"/>
        <v>1960</v>
      </c>
      <c r="AA53"/>
      <c r="AB53" s="84"/>
      <c r="AC53" s="90"/>
      <c r="AD53" s="91"/>
      <c r="AE53" s="92"/>
    </row>
    <row r="54" spans="1:31" ht="16" thickBot="1" x14ac:dyDescent="0.25">
      <c r="A54" s="198">
        <v>5916</v>
      </c>
      <c r="B54" s="199" t="s">
        <v>63</v>
      </c>
      <c r="C54" s="188">
        <v>132</v>
      </c>
      <c r="D54" s="3">
        <v>6600</v>
      </c>
      <c r="E54" s="200">
        <v>7030</v>
      </c>
      <c r="F54" s="201"/>
      <c r="G54" s="202"/>
      <c r="H54" s="192">
        <v>6500</v>
      </c>
      <c r="I54" s="203">
        <v>7025</v>
      </c>
      <c r="J54" s="204"/>
      <c r="K54" s="195"/>
      <c r="L54" s="196">
        <f t="shared" si="3"/>
        <v>100</v>
      </c>
      <c r="M54" s="196">
        <f t="shared" si="4"/>
        <v>5</v>
      </c>
      <c r="N54" s="196"/>
      <c r="O54" s="1"/>
      <c r="P54" s="1"/>
      <c r="Q54" s="1"/>
      <c r="R54" s="1"/>
      <c r="S54" s="1"/>
      <c r="T54" s="1"/>
      <c r="U54" s="1"/>
      <c r="V54" s="1"/>
      <c r="W54" s="1"/>
      <c r="X54" s="1"/>
      <c r="Y54" s="197">
        <f t="shared" si="2"/>
        <v>105</v>
      </c>
      <c r="AB54" s="84"/>
      <c r="AC54" s="90"/>
      <c r="AD54" s="91"/>
      <c r="AE54" s="92"/>
    </row>
    <row r="55" spans="1:31" s="320" customFormat="1" ht="16" thickBot="1" x14ac:dyDescent="0.25">
      <c r="A55" s="309"/>
      <c r="B55" s="310" t="s">
        <v>583</v>
      </c>
      <c r="C55" s="311">
        <v>22</v>
      </c>
      <c r="D55" s="294">
        <v>1100</v>
      </c>
      <c r="E55" s="312">
        <v>1680</v>
      </c>
      <c r="F55" s="313"/>
      <c r="G55" s="314"/>
      <c r="H55" s="315">
        <v>937.5</v>
      </c>
      <c r="I55" s="316">
        <v>1842.5</v>
      </c>
      <c r="J55" s="304"/>
      <c r="K55" s="317"/>
      <c r="L55" s="318">
        <f t="shared" si="3"/>
        <v>162.5</v>
      </c>
      <c r="M55" s="302">
        <f t="shared" si="4"/>
        <v>-162.5</v>
      </c>
      <c r="N55" s="318"/>
      <c r="O55" s="319"/>
      <c r="P55" s="319"/>
      <c r="Q55" s="319"/>
      <c r="R55" s="319"/>
      <c r="S55" s="319"/>
      <c r="T55" s="319">
        <v>-150</v>
      </c>
      <c r="U55" s="319"/>
      <c r="V55" s="319"/>
      <c r="W55" s="319"/>
      <c r="X55" s="319"/>
      <c r="Y55" s="304">
        <f t="shared" si="2"/>
        <v>-150</v>
      </c>
      <c r="AA55" s="79"/>
      <c r="AB55" s="305"/>
      <c r="AC55" s="306"/>
      <c r="AD55" s="307"/>
      <c r="AE55" s="308"/>
    </row>
    <row r="56" spans="1:31" s="149" customFormat="1" ht="16" thickBot="1" x14ac:dyDescent="0.25">
      <c r="A56" s="207"/>
      <c r="B56" s="208" t="s">
        <v>584</v>
      </c>
      <c r="C56" s="209">
        <v>67</v>
      </c>
      <c r="D56" s="3">
        <v>3350</v>
      </c>
      <c r="E56" s="210">
        <v>1105</v>
      </c>
      <c r="F56" s="211"/>
      <c r="G56" s="212"/>
      <c r="H56" s="205">
        <v>2950</v>
      </c>
      <c r="I56" s="206">
        <v>1105</v>
      </c>
      <c r="J56" s="197"/>
      <c r="K56" s="213"/>
      <c r="L56" s="215">
        <f t="shared" si="3"/>
        <v>400</v>
      </c>
      <c r="M56" s="196">
        <f t="shared" si="4"/>
        <v>0</v>
      </c>
      <c r="N56" s="215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197">
        <f t="shared" si="2"/>
        <v>400</v>
      </c>
      <c r="AA56"/>
      <c r="AB56" s="84"/>
      <c r="AC56" s="90"/>
      <c r="AD56" s="91"/>
      <c r="AE56" s="92"/>
    </row>
    <row r="57" spans="1:31" s="149" customFormat="1" ht="16" thickBot="1" x14ac:dyDescent="0.25">
      <c r="A57" s="207"/>
      <c r="B57" s="208" t="s">
        <v>1262</v>
      </c>
      <c r="C57" s="209"/>
      <c r="D57" s="3"/>
      <c r="E57" s="210"/>
      <c r="F57" s="211"/>
      <c r="G57" s="212"/>
      <c r="H57" s="205"/>
      <c r="I57" s="206"/>
      <c r="J57" s="197"/>
      <c r="K57" s="213"/>
      <c r="L57" s="215"/>
      <c r="M57" s="215"/>
      <c r="N57" s="215"/>
      <c r="O57" s="80"/>
      <c r="P57" s="80"/>
      <c r="Q57" s="80"/>
      <c r="R57" s="80">
        <v>8650</v>
      </c>
      <c r="S57" s="80">
        <v>-4300</v>
      </c>
      <c r="T57" s="80"/>
      <c r="U57" s="80"/>
      <c r="V57" s="80"/>
      <c r="W57" s="80"/>
      <c r="X57" s="80"/>
      <c r="Y57" s="197">
        <f>SUM(R57:W57)</f>
        <v>4350</v>
      </c>
      <c r="Z57" s="80"/>
      <c r="AA57"/>
      <c r="AB57" s="84"/>
      <c r="AC57" s="90"/>
      <c r="AD57" s="91"/>
      <c r="AE57" s="92"/>
    </row>
    <row r="58" spans="1:31" ht="16" thickBot="1" x14ac:dyDescent="0.25">
      <c r="A58" s="216"/>
      <c r="B58" s="217"/>
      <c r="C58" s="218"/>
      <c r="D58" s="3"/>
      <c r="E58" s="219"/>
      <c r="F58" s="201"/>
      <c r="G58" s="220"/>
      <c r="H58" s="192"/>
      <c r="I58" s="221"/>
      <c r="J58" s="222"/>
      <c r="K58" s="195"/>
      <c r="L58" s="196"/>
      <c r="M58" s="196"/>
      <c r="N58" s="196"/>
      <c r="O58" s="1"/>
      <c r="P58" s="1"/>
      <c r="Q58" s="1"/>
      <c r="R58" s="1"/>
      <c r="S58" s="1"/>
      <c r="T58" s="1"/>
      <c r="V58" s="1"/>
      <c r="W58" s="1"/>
      <c r="X58" s="1"/>
      <c r="Y58" s="197">
        <f t="shared" si="2"/>
        <v>0</v>
      </c>
    </row>
    <row r="59" spans="1:31" ht="16" thickBot="1" x14ac:dyDescent="0.25">
      <c r="A59" s="216"/>
      <c r="B59" s="217"/>
      <c r="C59" s="218"/>
      <c r="D59" s="3"/>
      <c r="E59" s="219"/>
      <c r="F59" s="201"/>
      <c r="G59" s="220"/>
      <c r="H59" s="192"/>
      <c r="I59" s="221"/>
      <c r="J59" s="222"/>
      <c r="K59" s="195"/>
      <c r="L59" s="196"/>
      <c r="M59" s="196"/>
      <c r="N59" s="196"/>
      <c r="O59" s="1"/>
      <c r="P59" s="1"/>
      <c r="Q59" s="1"/>
      <c r="R59" s="1"/>
      <c r="S59" s="1"/>
      <c r="T59" s="1"/>
      <c r="V59" s="1"/>
      <c r="W59" s="1"/>
      <c r="X59" s="1"/>
      <c r="Y59" s="197">
        <f t="shared" si="2"/>
        <v>0</v>
      </c>
    </row>
    <row r="60" spans="1:31" ht="16" thickBot="1" x14ac:dyDescent="0.25">
      <c r="A60" s="223"/>
      <c r="B60" s="217"/>
      <c r="C60" s="218"/>
      <c r="D60" s="3"/>
      <c r="E60" s="219"/>
      <c r="F60" s="201"/>
      <c r="G60" s="220"/>
      <c r="H60" s="192"/>
      <c r="I60" s="221"/>
      <c r="J60" s="222"/>
      <c r="K60" s="195"/>
      <c r="L60" s="196"/>
      <c r="M60" s="196"/>
      <c r="N60" s="196"/>
      <c r="O60" s="1"/>
      <c r="P60" s="1">
        <v>5164</v>
      </c>
      <c r="Q60" s="1"/>
      <c r="R60" s="1">
        <v>-5164</v>
      </c>
      <c r="S60" s="1"/>
      <c r="T60" s="1"/>
      <c r="V60" s="1"/>
      <c r="W60" s="1"/>
      <c r="X60" s="1"/>
      <c r="Y60" s="197">
        <f>SUM(P60:W60)</f>
        <v>0</v>
      </c>
      <c r="Z60" s="1"/>
    </row>
    <row r="61" spans="1:31" ht="16" thickBot="1" x14ac:dyDescent="0.25">
      <c r="A61" s="217"/>
      <c r="B61" s="217"/>
      <c r="C61" s="218"/>
      <c r="D61" s="3"/>
      <c r="E61" s="219"/>
      <c r="F61" s="201"/>
      <c r="G61" s="220"/>
      <c r="H61" s="192"/>
      <c r="I61" s="221"/>
      <c r="J61" s="222"/>
      <c r="K61" s="195"/>
      <c r="L61" s="196"/>
      <c r="M61" s="196"/>
      <c r="N61" s="196"/>
      <c r="O61" s="1"/>
      <c r="P61" s="1"/>
      <c r="Q61" s="1"/>
      <c r="R61" s="1"/>
      <c r="S61" s="1"/>
      <c r="T61" s="1"/>
      <c r="V61" s="1"/>
      <c r="W61" s="1"/>
      <c r="X61" s="1"/>
      <c r="Y61" s="197">
        <f>SUM(P61:P63)</f>
        <v>0</v>
      </c>
    </row>
    <row r="62" spans="1:31" ht="16" thickBot="1" x14ac:dyDescent="0.25">
      <c r="A62" s="217"/>
      <c r="B62" s="224"/>
      <c r="C62" s="218"/>
      <c r="D62" s="3"/>
      <c r="E62" s="219"/>
      <c r="F62" s="201"/>
      <c r="G62" s="220"/>
      <c r="H62" s="192"/>
      <c r="I62" s="221"/>
      <c r="J62" s="222"/>
      <c r="K62" s="195"/>
      <c r="L62" s="196"/>
      <c r="M62" s="196"/>
      <c r="N62" s="196"/>
      <c r="O62" s="1"/>
      <c r="P62" s="1"/>
      <c r="Q62" s="1"/>
      <c r="R62" s="1"/>
      <c r="S62" s="1"/>
      <c r="T62" s="1"/>
      <c r="V62" s="1"/>
      <c r="W62" s="1"/>
      <c r="X62" s="1"/>
      <c r="Y62" s="197"/>
    </row>
    <row r="63" spans="1:31" ht="16" thickBot="1" x14ac:dyDescent="0.25">
      <c r="A63" s="217"/>
      <c r="B63" s="224"/>
      <c r="C63" s="218"/>
      <c r="D63" s="3"/>
      <c r="E63" s="219"/>
      <c r="F63" s="201"/>
      <c r="G63" s="220"/>
      <c r="H63" s="192"/>
      <c r="I63" s="221"/>
      <c r="J63" s="222"/>
      <c r="K63" s="195"/>
      <c r="L63" s="196"/>
      <c r="M63" s="196"/>
      <c r="N63" s="196"/>
      <c r="O63" s="1"/>
      <c r="P63" s="1"/>
      <c r="Q63" s="1"/>
      <c r="R63" s="1"/>
      <c r="S63" s="1"/>
      <c r="T63" s="1"/>
      <c r="V63" s="1"/>
      <c r="W63" s="1"/>
      <c r="X63" s="1"/>
      <c r="Y63" s="197"/>
    </row>
    <row r="64" spans="1:31" ht="16" thickBot="1" x14ac:dyDescent="0.25">
      <c r="A64" s="216"/>
      <c r="B64" s="217"/>
      <c r="C64" s="218"/>
      <c r="D64" s="3"/>
      <c r="E64" s="219"/>
      <c r="F64" s="188"/>
      <c r="G64" s="220"/>
      <c r="H64" s="192"/>
      <c r="I64" s="221"/>
      <c r="J64" s="222"/>
      <c r="K64" s="195"/>
      <c r="L64" s="196"/>
      <c r="M64" s="196"/>
      <c r="N64" s="196"/>
      <c r="O64" s="1"/>
      <c r="P64" s="1"/>
      <c r="Q64" s="1"/>
      <c r="R64" s="1"/>
      <c r="S64" s="1"/>
      <c r="T64" s="1"/>
      <c r="U64" s="1"/>
      <c r="V64" s="1"/>
      <c r="W64" s="1"/>
      <c r="X64" s="1"/>
      <c r="Y64" s="197"/>
    </row>
    <row r="65" spans="1:26" ht="16" thickBot="1" x14ac:dyDescent="0.25">
      <c r="A65" s="216"/>
      <c r="B65" s="217"/>
      <c r="C65" s="218"/>
      <c r="D65" s="3"/>
      <c r="E65" s="216"/>
      <c r="F65" s="225"/>
      <c r="G65" s="223"/>
      <c r="H65" s="192"/>
      <c r="I65" s="221"/>
      <c r="J65" s="222"/>
      <c r="L65" s="196"/>
      <c r="M65" s="196"/>
      <c r="N65" s="196"/>
      <c r="O65" s="1"/>
      <c r="P65" s="148"/>
      <c r="Q65" s="148"/>
      <c r="R65" s="148"/>
      <c r="S65" s="148"/>
      <c r="T65" s="148"/>
      <c r="U65" s="148"/>
      <c r="V65" s="148"/>
      <c r="W65" s="148"/>
      <c r="X65" s="148"/>
      <c r="Y65" s="226">
        <v>1</v>
      </c>
      <c r="Z65">
        <f>SUM(Z50:Z64)</f>
        <v>0</v>
      </c>
    </row>
    <row r="66" spans="1:26" ht="16" thickBot="1" x14ac:dyDescent="0.25">
      <c r="A66" s="227"/>
      <c r="B66" s="228"/>
      <c r="C66" s="229">
        <f>SUM(C6:C65)</f>
        <v>3474</v>
      </c>
      <c r="D66" s="3">
        <f>SUM(D6:D64)</f>
        <v>170968</v>
      </c>
      <c r="E66" s="3">
        <f>SUM(E6:E64)</f>
        <v>147721.5</v>
      </c>
      <c r="F66" s="230"/>
      <c r="G66" s="231"/>
      <c r="H66" s="232">
        <f>SUM(H6:H65)</f>
        <v>148919.07</v>
      </c>
      <c r="I66" s="233">
        <f>SUM(I6:I65)</f>
        <v>128788.37999999999</v>
      </c>
      <c r="J66" s="234"/>
      <c r="K66" s="235"/>
      <c r="L66" s="236">
        <f>SUM(L6:L65)</f>
        <v>22048.93</v>
      </c>
      <c r="M66" s="236">
        <f>SUM(M6:M65)</f>
        <v>18933.12</v>
      </c>
      <c r="N66" s="230"/>
      <c r="O66" s="1"/>
      <c r="P66" s="148">
        <f>SUM(P7:P65)</f>
        <v>10811.5</v>
      </c>
      <c r="Q66" s="148"/>
      <c r="R66" s="148">
        <f>SUM(R7:R65)</f>
        <v>3486</v>
      </c>
      <c r="S66" s="148">
        <f>SUM(S7:S65)</f>
        <v>-10012.5</v>
      </c>
      <c r="T66" s="148">
        <f>SUM(T7:T65)</f>
        <v>-150</v>
      </c>
      <c r="U66" s="148">
        <f>SUM(U7:U65)</f>
        <v>0</v>
      </c>
      <c r="V66" s="237">
        <f>SUM(V6:V65)</f>
        <v>0</v>
      </c>
      <c r="W66" s="1"/>
      <c r="X66" s="238"/>
      <c r="Y66" s="80"/>
    </row>
    <row r="67" spans="1:26" ht="16" thickBot="1" x14ac:dyDescent="0.25">
      <c r="A67" s="239"/>
      <c r="B67" s="240"/>
      <c r="C67" s="241"/>
      <c r="D67" s="49"/>
      <c r="E67" s="235"/>
      <c r="F67" s="235"/>
      <c r="G67" s="235"/>
      <c r="H67" s="242"/>
      <c r="I67" s="242"/>
      <c r="J67" s="243"/>
      <c r="K67" s="235"/>
      <c r="L67" s="243"/>
      <c r="M67" s="235"/>
      <c r="N67" s="235"/>
      <c r="O67" s="1"/>
      <c r="P67" s="1"/>
      <c r="Q67" s="1"/>
      <c r="R67" s="1"/>
      <c r="S67" s="1"/>
      <c r="T67" s="1"/>
      <c r="U67" s="1"/>
      <c r="V67" s="1"/>
      <c r="W67" s="1"/>
      <c r="X67" s="1"/>
      <c r="Y67" s="80"/>
    </row>
    <row r="68" spans="1:26" ht="16" thickBot="1" x14ac:dyDescent="0.25">
      <c r="A68" s="239"/>
      <c r="B68" s="240"/>
      <c r="C68" s="241"/>
      <c r="D68" s="50"/>
      <c r="E68" s="235"/>
      <c r="F68" s="235"/>
      <c r="G68" s="235"/>
      <c r="H68" s="242"/>
      <c r="I68" s="242"/>
      <c r="J68" s="243"/>
      <c r="K68" s="235"/>
      <c r="L68" s="248"/>
      <c r="M68" s="249"/>
      <c r="N68" s="250"/>
      <c r="O68" s="1"/>
      <c r="P68" s="1"/>
      <c r="Q68" s="1"/>
      <c r="R68" s="1"/>
      <c r="S68" s="1"/>
      <c r="T68" s="1">
        <f>SUM(P66:T66)</f>
        <v>4135</v>
      </c>
      <c r="U68" s="1"/>
      <c r="V68" s="1">
        <f>SUM(P66:U66)</f>
        <v>4135</v>
      </c>
      <c r="W68" s="1"/>
      <c r="X68" s="1"/>
      <c r="Y68" s="256"/>
      <c r="Z68" s="84"/>
    </row>
    <row r="69" spans="1:26" ht="16" thickBot="1" x14ac:dyDescent="0.25">
      <c r="A69" s="239"/>
      <c r="B69" s="240"/>
      <c r="C69" s="241"/>
      <c r="D69" s="50"/>
      <c r="E69" s="235"/>
      <c r="F69" s="235"/>
      <c r="G69" s="235"/>
      <c r="H69" s="242"/>
      <c r="I69" s="242"/>
      <c r="J69" s="243"/>
      <c r="K69" s="235"/>
      <c r="L69" s="352" t="s">
        <v>14</v>
      </c>
      <c r="M69" s="353"/>
      <c r="N69" s="354"/>
      <c r="O69" s="244"/>
      <c r="P69" s="244"/>
      <c r="Q69" s="244"/>
      <c r="R69" s="244"/>
      <c r="S69" s="244"/>
      <c r="T69" s="244"/>
      <c r="U69" s="244"/>
      <c r="V69" s="244"/>
      <c r="W69" s="244"/>
      <c r="X69" s="244"/>
      <c r="Y69" s="80"/>
    </row>
    <row r="70" spans="1:26" x14ac:dyDescent="0.2">
      <c r="D70" s="50"/>
      <c r="L70" s="251"/>
      <c r="N70" s="252"/>
      <c r="O70" s="1"/>
      <c r="P70" s="1"/>
      <c r="Q70" s="1"/>
      <c r="R70" s="1"/>
      <c r="S70" s="1"/>
      <c r="T70" s="1"/>
      <c r="U70" s="1"/>
      <c r="V70" s="1"/>
      <c r="W70" s="1"/>
      <c r="X70" s="1"/>
      <c r="Y70" s="272">
        <f>SUM(Y65:Y68)</f>
        <v>1</v>
      </c>
    </row>
    <row r="71" spans="1:26" x14ac:dyDescent="0.2">
      <c r="D71" s="50"/>
      <c r="L71" s="251" t="s">
        <v>20</v>
      </c>
      <c r="N71" s="252">
        <f>L66</f>
        <v>22048.93</v>
      </c>
      <c r="O71" s="1"/>
      <c r="P71" s="1"/>
      <c r="Q71" s="1"/>
      <c r="R71" s="1">
        <f>SUM(L66:M66)</f>
        <v>40982.050000000003</v>
      </c>
      <c r="S71" s="1"/>
      <c r="T71" s="1"/>
      <c r="U71" s="1"/>
      <c r="V71" s="1"/>
      <c r="W71" s="1"/>
      <c r="X71" s="1"/>
      <c r="Y71" s="80"/>
    </row>
    <row r="72" spans="1:26" x14ac:dyDescent="0.2">
      <c r="D72" s="50"/>
      <c r="L72" s="251" t="s">
        <v>586</v>
      </c>
      <c r="N72" s="252">
        <f>M66</f>
        <v>18933.12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80"/>
    </row>
    <row r="73" spans="1:26" x14ac:dyDescent="0.2">
      <c r="D73" s="50"/>
      <c r="L73" s="251"/>
      <c r="N73" s="253"/>
      <c r="Y73" s="80"/>
    </row>
    <row r="74" spans="1:26" x14ac:dyDescent="0.2">
      <c r="L74" s="251"/>
      <c r="N74" s="257">
        <f>SUM(N71:N73)</f>
        <v>40982.050000000003</v>
      </c>
      <c r="Y74" s="80"/>
    </row>
    <row r="75" spans="1:26" x14ac:dyDescent="0.2">
      <c r="L75" s="251"/>
      <c r="N75" s="120"/>
      <c r="Y75" s="80"/>
    </row>
    <row r="76" spans="1:26" x14ac:dyDescent="0.2">
      <c r="L76" s="251"/>
      <c r="N76" s="252"/>
    </row>
    <row r="77" spans="1:26" x14ac:dyDescent="0.2">
      <c r="L77" s="251"/>
      <c r="N77" s="252">
        <f>V68</f>
        <v>4135</v>
      </c>
    </row>
    <row r="78" spans="1:26" x14ac:dyDescent="0.2">
      <c r="L78" s="251"/>
      <c r="N78" s="120"/>
    </row>
    <row r="79" spans="1:26" x14ac:dyDescent="0.2">
      <c r="D79" s="247"/>
      <c r="L79" s="251"/>
      <c r="M79" s="1"/>
      <c r="N79" s="252">
        <f>SUM(N74:N77)</f>
        <v>45117.05</v>
      </c>
    </row>
    <row r="80" spans="1:26" x14ac:dyDescent="0.2">
      <c r="L80" s="251"/>
      <c r="M80" s="1"/>
    </row>
    <row r="81" spans="12:14" x14ac:dyDescent="0.2">
      <c r="L81" s="251"/>
      <c r="M81" s="1"/>
      <c r="N81" s="252"/>
    </row>
    <row r="82" spans="12:14" x14ac:dyDescent="0.2">
      <c r="L82" s="251"/>
      <c r="M82" s="1"/>
      <c r="N82" s="252"/>
    </row>
    <row r="83" spans="12:14" ht="16" thickBot="1" x14ac:dyDescent="0.25">
      <c r="L83" s="254"/>
      <c r="M83" s="148"/>
      <c r="N83" s="255"/>
    </row>
    <row r="84" spans="12:14" x14ac:dyDescent="0.2">
      <c r="M84" s="1"/>
      <c r="N84" s="1"/>
    </row>
    <row r="85" spans="12:14" x14ac:dyDescent="0.2">
      <c r="M85" s="1"/>
      <c r="N85" s="1"/>
    </row>
    <row r="86" spans="12:14" x14ac:dyDescent="0.2">
      <c r="M86" s="1"/>
      <c r="N86" s="1"/>
    </row>
    <row r="87" spans="12:14" x14ac:dyDescent="0.2">
      <c r="M87" s="1"/>
      <c r="N87" s="1"/>
    </row>
    <row r="88" spans="12:14" x14ac:dyDescent="0.2">
      <c r="M88" s="1"/>
      <c r="N88" s="1"/>
    </row>
    <row r="89" spans="12:14" x14ac:dyDescent="0.2">
      <c r="M89" s="1"/>
      <c r="N89" s="1"/>
    </row>
    <row r="90" spans="12:14" x14ac:dyDescent="0.2">
      <c r="M90" s="1"/>
      <c r="N90" s="1"/>
    </row>
    <row r="91" spans="12:14" x14ac:dyDescent="0.2">
      <c r="M91" s="1"/>
      <c r="N91" s="1"/>
    </row>
  </sheetData>
  <mergeCells count="7">
    <mergeCell ref="L69:N69"/>
    <mergeCell ref="S3:U3"/>
    <mergeCell ref="H4:H5"/>
    <mergeCell ref="L4:L5"/>
    <mergeCell ref="B1:C1"/>
    <mergeCell ref="H3:J3"/>
    <mergeCell ref="L3:N3"/>
  </mergeCells>
  <printOptions gridLines="1"/>
  <pageMargins left="0.7" right="0.7" top="0.75" bottom="0.75" header="0.3" footer="0.3"/>
  <pageSetup scale="8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D2F6B-0BBD-4B63-8250-7DE35163070E}">
  <dimension ref="A1:M35"/>
  <sheetViews>
    <sheetView workbookViewId="0">
      <selection sqref="A1:K1"/>
    </sheetView>
  </sheetViews>
  <sheetFormatPr baseColWidth="10" defaultColWidth="8.83203125" defaultRowHeight="15" x14ac:dyDescent="0.2"/>
  <cols>
    <col min="1" max="1" width="13.83203125" customWidth="1"/>
    <col min="2" max="2" width="15.5" customWidth="1"/>
    <col min="3" max="3" width="12" customWidth="1"/>
    <col min="4" max="4" width="8.5" customWidth="1"/>
    <col min="5" max="5" width="7.6640625" customWidth="1"/>
    <col min="6" max="6" width="24.83203125" customWidth="1"/>
    <col min="7" max="7" width="38.6640625" customWidth="1"/>
    <col min="8" max="8" width="19.6640625" customWidth="1"/>
    <col min="9" max="9" width="31.83203125" customWidth="1"/>
    <col min="10" max="10" width="8.5" customWidth="1"/>
    <col min="11" max="11" width="7.6640625" customWidth="1"/>
    <col min="13" max="13" width="9.5" bestFit="1" customWidth="1"/>
  </cols>
  <sheetData>
    <row r="1" spans="1:11" ht="18" x14ac:dyDescent="0.2">
      <c r="A1" s="336" t="s">
        <v>64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</row>
    <row r="2" spans="1:11" ht="18" x14ac:dyDescent="0.2">
      <c r="A2" s="336" t="s">
        <v>2620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</row>
    <row r="3" spans="1:11" x14ac:dyDescent="0.2">
      <c r="A3" s="337" t="s">
        <v>2621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</row>
    <row r="5" spans="1:11" ht="27" x14ac:dyDescent="0.2">
      <c r="B5" s="128" t="s">
        <v>97</v>
      </c>
      <c r="C5" s="128" t="s">
        <v>333</v>
      </c>
      <c r="D5" s="128" t="s">
        <v>98</v>
      </c>
      <c r="E5" s="128" t="s">
        <v>2622</v>
      </c>
      <c r="F5" s="128" t="s">
        <v>99</v>
      </c>
      <c r="G5" s="128" t="s">
        <v>334</v>
      </c>
      <c r="H5" s="128" t="s">
        <v>2623</v>
      </c>
      <c r="I5" s="128" t="s">
        <v>2624</v>
      </c>
      <c r="J5" s="128" t="s">
        <v>149</v>
      </c>
      <c r="K5" s="128" t="s">
        <v>12</v>
      </c>
    </row>
    <row r="6" spans="1:11" x14ac:dyDescent="0.2">
      <c r="A6" s="129" t="s">
        <v>2625</v>
      </c>
    </row>
    <row r="7" spans="1:11" x14ac:dyDescent="0.2">
      <c r="B7" s="135" t="s">
        <v>2626</v>
      </c>
      <c r="K7" s="131">
        <v>2700</v>
      </c>
    </row>
    <row r="8" spans="1:11" x14ac:dyDescent="0.2">
      <c r="B8" s="135" t="s">
        <v>2627</v>
      </c>
      <c r="C8" s="135" t="s">
        <v>339</v>
      </c>
      <c r="D8" s="135" t="s">
        <v>2628</v>
      </c>
      <c r="E8" s="135" t="s">
        <v>2629</v>
      </c>
      <c r="F8" s="135"/>
      <c r="G8" s="135" t="s">
        <v>2630</v>
      </c>
      <c r="H8" s="135" t="s">
        <v>2631</v>
      </c>
      <c r="I8" s="321" t="s">
        <v>2632</v>
      </c>
      <c r="J8" s="131">
        <v>-175</v>
      </c>
      <c r="K8" s="131">
        <v>2525</v>
      </c>
    </row>
    <row r="9" spans="1:11" x14ac:dyDescent="0.2">
      <c r="B9" s="135" t="s">
        <v>2627</v>
      </c>
      <c r="C9" s="135" t="s">
        <v>339</v>
      </c>
      <c r="D9" s="135" t="s">
        <v>2628</v>
      </c>
      <c r="E9" s="135" t="s">
        <v>2629</v>
      </c>
      <c r="F9" s="135"/>
      <c r="G9" s="135" t="s">
        <v>2630</v>
      </c>
      <c r="H9" s="135" t="s">
        <v>2631</v>
      </c>
      <c r="I9" s="321" t="s">
        <v>2632</v>
      </c>
      <c r="J9" s="131">
        <v>-175</v>
      </c>
      <c r="K9" s="131">
        <v>2350</v>
      </c>
    </row>
    <row r="10" spans="1:11" x14ac:dyDescent="0.2">
      <c r="B10" s="135" t="s">
        <v>2627</v>
      </c>
      <c r="C10" s="135" t="s">
        <v>339</v>
      </c>
      <c r="D10" s="135" t="s">
        <v>2628</v>
      </c>
      <c r="E10" s="135" t="s">
        <v>2629</v>
      </c>
      <c r="F10" s="135"/>
      <c r="G10" s="135" t="s">
        <v>2630</v>
      </c>
      <c r="H10" s="135" t="s">
        <v>2631</v>
      </c>
      <c r="I10" s="321" t="s">
        <v>2632</v>
      </c>
      <c r="J10" s="131">
        <v>-250</v>
      </c>
      <c r="K10" s="131">
        <v>2100</v>
      </c>
    </row>
    <row r="11" spans="1:11" x14ac:dyDescent="0.2">
      <c r="B11" s="135" t="s">
        <v>2627</v>
      </c>
      <c r="C11" s="135" t="s">
        <v>339</v>
      </c>
      <c r="D11" s="135" t="s">
        <v>2628</v>
      </c>
      <c r="E11" s="135" t="s">
        <v>2629</v>
      </c>
      <c r="F11" s="135"/>
      <c r="G11" s="135" t="s">
        <v>2630</v>
      </c>
      <c r="H11" s="135" t="s">
        <v>2631</v>
      </c>
      <c r="I11" s="321" t="s">
        <v>2632</v>
      </c>
      <c r="J11" s="131">
        <v>-250</v>
      </c>
      <c r="K11" s="131">
        <v>1850</v>
      </c>
    </row>
    <row r="12" spans="1:11" x14ac:dyDescent="0.2">
      <c r="B12" s="135" t="s">
        <v>2627</v>
      </c>
      <c r="C12" s="135" t="s">
        <v>339</v>
      </c>
      <c r="D12" s="135" t="s">
        <v>2628</v>
      </c>
      <c r="E12" s="135" t="s">
        <v>2629</v>
      </c>
      <c r="F12" s="135"/>
      <c r="G12" s="135" t="s">
        <v>2630</v>
      </c>
      <c r="H12" s="135" t="s">
        <v>2631</v>
      </c>
      <c r="I12" s="321" t="s">
        <v>2632</v>
      </c>
      <c r="J12" s="131">
        <v>-250</v>
      </c>
      <c r="K12" s="131">
        <v>1600</v>
      </c>
    </row>
    <row r="13" spans="1:11" x14ac:dyDescent="0.2">
      <c r="B13" s="135" t="s">
        <v>2627</v>
      </c>
      <c r="C13" s="135" t="s">
        <v>339</v>
      </c>
      <c r="D13" s="135" t="s">
        <v>2628</v>
      </c>
      <c r="E13" s="135" t="s">
        <v>2629</v>
      </c>
      <c r="F13" s="135"/>
      <c r="G13" s="135" t="s">
        <v>2633</v>
      </c>
      <c r="H13" s="135" t="s">
        <v>2631</v>
      </c>
      <c r="I13" s="321" t="s">
        <v>2632</v>
      </c>
      <c r="J13" s="131">
        <v>-250</v>
      </c>
      <c r="K13" s="131">
        <v>1350</v>
      </c>
    </row>
    <row r="14" spans="1:11" x14ac:dyDescent="0.2">
      <c r="B14" s="135" t="s">
        <v>2627</v>
      </c>
      <c r="C14" s="135" t="s">
        <v>339</v>
      </c>
      <c r="D14" s="135" t="s">
        <v>2628</v>
      </c>
      <c r="E14" s="135" t="s">
        <v>2629</v>
      </c>
      <c r="F14" s="135"/>
      <c r="G14" s="135" t="s">
        <v>2630</v>
      </c>
      <c r="H14" s="135" t="s">
        <v>2631</v>
      </c>
      <c r="I14" s="321" t="s">
        <v>2632</v>
      </c>
      <c r="J14" s="131">
        <v>-350</v>
      </c>
      <c r="K14" s="131">
        <v>1000</v>
      </c>
    </row>
    <row r="15" spans="1:11" x14ac:dyDescent="0.2">
      <c r="B15" s="135" t="s">
        <v>2627</v>
      </c>
      <c r="C15" s="135" t="s">
        <v>339</v>
      </c>
      <c r="D15" s="135" t="s">
        <v>2628</v>
      </c>
      <c r="E15" s="135" t="s">
        <v>2629</v>
      </c>
      <c r="F15" s="135"/>
      <c r="G15" s="135" t="s">
        <v>2630</v>
      </c>
      <c r="H15" s="135" t="s">
        <v>2631</v>
      </c>
      <c r="I15" s="321" t="s">
        <v>2632</v>
      </c>
      <c r="J15" s="131">
        <v>-500</v>
      </c>
      <c r="K15" s="131">
        <v>500</v>
      </c>
    </row>
    <row r="16" spans="1:11" x14ac:dyDescent="0.2">
      <c r="B16" s="135" t="s">
        <v>2627</v>
      </c>
      <c r="C16" s="135" t="s">
        <v>339</v>
      </c>
      <c r="D16" s="135" t="s">
        <v>2628</v>
      </c>
      <c r="E16" s="135" t="s">
        <v>2629</v>
      </c>
      <c r="F16" s="135"/>
      <c r="G16" s="135" t="s">
        <v>2630</v>
      </c>
      <c r="H16" s="135" t="s">
        <v>2631</v>
      </c>
      <c r="I16" s="321" t="s">
        <v>2632</v>
      </c>
      <c r="J16" s="131">
        <v>-500</v>
      </c>
      <c r="K16" s="131">
        <v>0</v>
      </c>
    </row>
    <row r="17" spans="1:13" x14ac:dyDescent="0.2">
      <c r="B17" s="135"/>
      <c r="C17" s="135"/>
      <c r="D17" s="135"/>
      <c r="E17" s="135"/>
      <c r="F17" s="135"/>
      <c r="G17" s="135"/>
      <c r="H17" s="135"/>
      <c r="I17" s="321"/>
      <c r="J17" s="131"/>
      <c r="K17" s="131"/>
    </row>
    <row r="18" spans="1:13" x14ac:dyDescent="0.2">
      <c r="B18" s="135" t="s">
        <v>2634</v>
      </c>
      <c r="C18" s="135" t="s">
        <v>973</v>
      </c>
      <c r="D18" s="135" t="s">
        <v>2635</v>
      </c>
      <c r="E18" s="135" t="s">
        <v>2629</v>
      </c>
      <c r="F18" s="135" t="s">
        <v>2636</v>
      </c>
      <c r="G18" s="135" t="s">
        <v>2637</v>
      </c>
      <c r="H18" s="135" t="s">
        <v>2631</v>
      </c>
      <c r="I18" s="135" t="s">
        <v>2638</v>
      </c>
      <c r="J18" s="131">
        <v>500</v>
      </c>
      <c r="K18" s="131">
        <v>500</v>
      </c>
    </row>
    <row r="19" spans="1:13" x14ac:dyDescent="0.2">
      <c r="B19" s="135" t="s">
        <v>2634</v>
      </c>
      <c r="C19" s="135" t="s">
        <v>973</v>
      </c>
      <c r="D19" s="135" t="s">
        <v>2639</v>
      </c>
      <c r="E19" s="135" t="s">
        <v>2629</v>
      </c>
      <c r="F19" s="135" t="s">
        <v>2640</v>
      </c>
      <c r="G19" s="135" t="s">
        <v>2641</v>
      </c>
      <c r="H19" s="135" t="s">
        <v>2631</v>
      </c>
      <c r="I19" s="135" t="s">
        <v>2638</v>
      </c>
      <c r="J19" s="131">
        <v>500</v>
      </c>
      <c r="K19" s="131">
        <v>1000</v>
      </c>
    </row>
    <row r="20" spans="1:13" x14ac:dyDescent="0.2">
      <c r="B20" s="135" t="s">
        <v>2642</v>
      </c>
      <c r="C20" s="135" t="s">
        <v>973</v>
      </c>
      <c r="D20" s="135" t="s">
        <v>2643</v>
      </c>
      <c r="E20" s="135" t="s">
        <v>2629</v>
      </c>
      <c r="F20" s="135" t="s">
        <v>1792</v>
      </c>
      <c r="G20" s="135" t="s">
        <v>2644</v>
      </c>
      <c r="H20" s="135" t="s">
        <v>2631</v>
      </c>
      <c r="I20" s="135" t="s">
        <v>2638</v>
      </c>
      <c r="J20" s="131">
        <v>250</v>
      </c>
      <c r="K20" s="131">
        <v>1250</v>
      </c>
    </row>
    <row r="21" spans="1:13" x14ac:dyDescent="0.2">
      <c r="B21" s="135" t="s">
        <v>2642</v>
      </c>
      <c r="C21" s="135" t="s">
        <v>973</v>
      </c>
      <c r="D21" s="135" t="s">
        <v>2645</v>
      </c>
      <c r="E21" s="135" t="s">
        <v>2629</v>
      </c>
      <c r="F21" s="135" t="s">
        <v>2646</v>
      </c>
      <c r="G21" s="135"/>
      <c r="H21" s="135" t="s">
        <v>2631</v>
      </c>
      <c r="I21" s="135" t="s">
        <v>2638</v>
      </c>
      <c r="J21" s="131">
        <v>200</v>
      </c>
      <c r="K21" s="131">
        <v>1450</v>
      </c>
    </row>
    <row r="22" spans="1:13" x14ac:dyDescent="0.2">
      <c r="B22" s="135" t="s">
        <v>2647</v>
      </c>
      <c r="C22" s="135" t="s">
        <v>973</v>
      </c>
      <c r="D22" s="135" t="s">
        <v>2648</v>
      </c>
      <c r="E22" s="135" t="s">
        <v>2629</v>
      </c>
      <c r="F22" s="135" t="s">
        <v>2649</v>
      </c>
      <c r="G22" s="135"/>
      <c r="H22" s="135" t="s">
        <v>2631</v>
      </c>
      <c r="I22" s="135" t="s">
        <v>2650</v>
      </c>
      <c r="J22" s="131">
        <v>700</v>
      </c>
      <c r="K22" s="131">
        <v>2150</v>
      </c>
    </row>
    <row r="23" spans="1:13" x14ac:dyDescent="0.2">
      <c r="B23" s="135" t="s">
        <v>2647</v>
      </c>
      <c r="C23" s="135" t="s">
        <v>973</v>
      </c>
      <c r="D23" s="135" t="s">
        <v>2651</v>
      </c>
      <c r="E23" s="135" t="s">
        <v>2629</v>
      </c>
      <c r="F23" s="135" t="s">
        <v>1498</v>
      </c>
      <c r="G23" s="135"/>
      <c r="H23" s="135" t="s">
        <v>2631</v>
      </c>
      <c r="I23" s="135" t="s">
        <v>2650</v>
      </c>
      <c r="J23" s="131">
        <v>250</v>
      </c>
      <c r="K23" s="131">
        <v>2400</v>
      </c>
    </row>
    <row r="24" spans="1:13" x14ac:dyDescent="0.2">
      <c r="B24" s="135" t="s">
        <v>2652</v>
      </c>
      <c r="C24" s="135" t="s">
        <v>973</v>
      </c>
      <c r="D24" s="135" t="s">
        <v>2653</v>
      </c>
      <c r="E24" s="135" t="s">
        <v>2629</v>
      </c>
      <c r="F24" s="135" t="s">
        <v>2654</v>
      </c>
      <c r="G24" s="135"/>
      <c r="H24" s="135" t="s">
        <v>2631</v>
      </c>
      <c r="I24" s="135" t="s">
        <v>2638</v>
      </c>
      <c r="J24" s="131">
        <v>500</v>
      </c>
      <c r="K24" s="131">
        <v>2900</v>
      </c>
    </row>
    <row r="25" spans="1:13" x14ac:dyDescent="0.2">
      <c r="B25" s="135" t="s">
        <v>2655</v>
      </c>
      <c r="C25" s="135" t="s">
        <v>973</v>
      </c>
      <c r="D25" s="135" t="s">
        <v>2656</v>
      </c>
      <c r="E25" s="135" t="s">
        <v>2629</v>
      </c>
      <c r="F25" s="135" t="s">
        <v>1504</v>
      </c>
      <c r="G25" s="135"/>
      <c r="H25" s="135" t="s">
        <v>2631</v>
      </c>
      <c r="I25" s="135" t="s">
        <v>2650</v>
      </c>
      <c r="J25" s="131">
        <v>1450</v>
      </c>
      <c r="K25" s="131">
        <v>4350</v>
      </c>
    </row>
    <row r="26" spans="1:13" x14ac:dyDescent="0.2">
      <c r="B26" s="135" t="s">
        <v>2657</v>
      </c>
      <c r="C26" s="135" t="s">
        <v>973</v>
      </c>
      <c r="D26" s="135" t="s">
        <v>2658</v>
      </c>
      <c r="E26" s="135" t="s">
        <v>2629</v>
      </c>
      <c r="F26" s="135" t="s">
        <v>2659</v>
      </c>
      <c r="G26" s="135"/>
      <c r="H26" s="135" t="s">
        <v>2631</v>
      </c>
      <c r="I26" s="135" t="s">
        <v>2638</v>
      </c>
      <c r="J26" s="131">
        <v>875</v>
      </c>
      <c r="K26" s="131">
        <v>5225</v>
      </c>
    </row>
    <row r="27" spans="1:13" x14ac:dyDescent="0.2">
      <c r="B27" s="135" t="s">
        <v>2660</v>
      </c>
      <c r="C27" s="135" t="s">
        <v>973</v>
      </c>
      <c r="D27" s="135" t="s">
        <v>2661</v>
      </c>
      <c r="E27" s="135" t="s">
        <v>2629</v>
      </c>
      <c r="F27" s="135" t="s">
        <v>2662</v>
      </c>
      <c r="G27" s="135"/>
      <c r="H27" s="135" t="s">
        <v>2631</v>
      </c>
      <c r="I27" s="135" t="s">
        <v>2638</v>
      </c>
      <c r="J27" s="131">
        <v>175</v>
      </c>
      <c r="K27" s="131">
        <v>5400</v>
      </c>
    </row>
    <row r="28" spans="1:13" x14ac:dyDescent="0.2">
      <c r="B28" s="135" t="s">
        <v>2663</v>
      </c>
      <c r="C28" s="135" t="s">
        <v>973</v>
      </c>
      <c r="D28" s="135" t="s">
        <v>2664</v>
      </c>
      <c r="E28" s="135" t="s">
        <v>2629</v>
      </c>
      <c r="F28" s="135" t="s">
        <v>2232</v>
      </c>
      <c r="G28" s="135" t="s">
        <v>2665</v>
      </c>
      <c r="H28" s="135" t="s">
        <v>2631</v>
      </c>
      <c r="I28" s="135" t="s">
        <v>2650</v>
      </c>
      <c r="J28" s="131">
        <v>1000</v>
      </c>
      <c r="K28" s="131">
        <v>6400</v>
      </c>
    </row>
    <row r="29" spans="1:13" x14ac:dyDescent="0.2">
      <c r="B29" s="135" t="s">
        <v>2663</v>
      </c>
      <c r="C29" s="135" t="s">
        <v>973</v>
      </c>
      <c r="D29" s="135" t="s">
        <v>2666</v>
      </c>
      <c r="E29" s="135" t="s">
        <v>2629</v>
      </c>
      <c r="F29" s="135" t="s">
        <v>1630</v>
      </c>
      <c r="G29" s="135" t="s">
        <v>2667</v>
      </c>
      <c r="H29" s="135" t="s">
        <v>2631</v>
      </c>
      <c r="I29" s="135" t="s">
        <v>2650</v>
      </c>
      <c r="J29" s="131">
        <v>1000</v>
      </c>
      <c r="K29" s="131">
        <v>7400</v>
      </c>
    </row>
    <row r="30" spans="1:13" x14ac:dyDescent="0.2">
      <c r="B30" s="135" t="s">
        <v>2668</v>
      </c>
      <c r="C30" s="135" t="s">
        <v>973</v>
      </c>
      <c r="D30" s="135" t="s">
        <v>2669</v>
      </c>
      <c r="E30" s="135" t="s">
        <v>2629</v>
      </c>
      <c r="F30" s="135" t="s">
        <v>2670</v>
      </c>
      <c r="G30" s="135"/>
      <c r="H30" s="135" t="s">
        <v>2631</v>
      </c>
      <c r="I30" s="135" t="s">
        <v>2638</v>
      </c>
      <c r="J30" s="131">
        <v>250</v>
      </c>
      <c r="K30" s="131">
        <v>7650</v>
      </c>
      <c r="M30" s="51">
        <f>SUM(J18:J30)</f>
        <v>7650</v>
      </c>
    </row>
    <row r="31" spans="1:13" ht="25" x14ac:dyDescent="0.2">
      <c r="A31" s="129" t="s">
        <v>2671</v>
      </c>
      <c r="J31" s="132">
        <v>4950</v>
      </c>
    </row>
    <row r="32" spans="1:13" x14ac:dyDescent="0.2">
      <c r="A32" s="129" t="s">
        <v>8</v>
      </c>
      <c r="J32" s="132">
        <v>4950</v>
      </c>
    </row>
    <row r="35" spans="1:11" x14ac:dyDescent="0.2">
      <c r="A35" s="334" t="s">
        <v>2672</v>
      </c>
      <c r="B35" s="335"/>
      <c r="C35" s="335"/>
      <c r="D35" s="335"/>
      <c r="E35" s="335"/>
      <c r="F35" s="335"/>
      <c r="G35" s="335"/>
      <c r="H35" s="335"/>
      <c r="I35" s="335"/>
      <c r="J35" s="335"/>
      <c r="K35" s="335"/>
    </row>
  </sheetData>
  <mergeCells count="4">
    <mergeCell ref="A1:K1"/>
    <mergeCell ref="A2:K2"/>
    <mergeCell ref="A3:K3"/>
    <mergeCell ref="A35:K3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49321-6CDC-4260-A00C-70231CAB4B97}">
  <dimension ref="A1:G68"/>
  <sheetViews>
    <sheetView workbookViewId="0">
      <selection sqref="A1:XFD1048576"/>
    </sheetView>
  </sheetViews>
  <sheetFormatPr baseColWidth="10" defaultColWidth="8.83203125" defaultRowHeight="15" x14ac:dyDescent="0.2"/>
  <cols>
    <col min="1" max="1" width="34.5" customWidth="1"/>
    <col min="2" max="2" width="7.6640625" customWidth="1"/>
    <col min="3" max="3" width="10.33203125" customWidth="1"/>
    <col min="4" max="5" width="8.5" customWidth="1"/>
    <col min="6" max="7" width="9.5" customWidth="1"/>
  </cols>
  <sheetData>
    <row r="1" spans="1:7" ht="18" x14ac:dyDescent="0.2">
      <c r="A1" s="336" t="s">
        <v>64</v>
      </c>
      <c r="B1" s="335"/>
      <c r="C1" s="335"/>
      <c r="D1" s="335"/>
      <c r="E1" s="335"/>
      <c r="F1" s="335"/>
      <c r="G1" s="335"/>
    </row>
    <row r="2" spans="1:7" ht="18" x14ac:dyDescent="0.2">
      <c r="A2" s="336" t="s">
        <v>2458</v>
      </c>
      <c r="B2" s="335"/>
      <c r="C2" s="335"/>
      <c r="D2" s="335"/>
      <c r="E2" s="335"/>
      <c r="F2" s="335"/>
      <c r="G2" s="335"/>
    </row>
    <row r="3" spans="1:7" x14ac:dyDescent="0.2">
      <c r="A3" s="337" t="s">
        <v>2680</v>
      </c>
      <c r="B3" s="335"/>
      <c r="C3" s="335"/>
      <c r="D3" s="335"/>
      <c r="E3" s="335"/>
      <c r="F3" s="335"/>
      <c r="G3" s="335"/>
    </row>
    <row r="5" spans="1:7" x14ac:dyDescent="0.2">
      <c r="A5" s="11"/>
      <c r="B5" s="128" t="s">
        <v>2459</v>
      </c>
      <c r="C5" s="128" t="s">
        <v>2460</v>
      </c>
      <c r="D5" s="128" t="s">
        <v>2461</v>
      </c>
      <c r="E5" s="128" t="s">
        <v>2462</v>
      </c>
      <c r="F5" s="128" t="s">
        <v>2463</v>
      </c>
      <c r="G5" s="128" t="s">
        <v>501</v>
      </c>
    </row>
    <row r="6" spans="1:7" x14ac:dyDescent="0.2">
      <c r="A6" s="129" t="s">
        <v>2464</v>
      </c>
      <c r="B6" s="130"/>
      <c r="C6" s="130"/>
      <c r="D6" s="130"/>
      <c r="E6" s="130"/>
      <c r="F6" s="131">
        <f>0</f>
        <v>0</v>
      </c>
      <c r="G6" s="131">
        <f t="shared" ref="G6:G64" si="0">((((B6)+(C6))+(D6))+(E6))+(F6)</f>
        <v>0</v>
      </c>
    </row>
    <row r="7" spans="1:7" x14ac:dyDescent="0.2">
      <c r="A7" s="129" t="s">
        <v>511</v>
      </c>
      <c r="B7" s="130"/>
      <c r="C7" s="130"/>
      <c r="D7" s="130"/>
      <c r="E7" s="130"/>
      <c r="F7" s="131">
        <f>0</f>
        <v>0</v>
      </c>
      <c r="G7" s="131">
        <f t="shared" si="0"/>
        <v>0</v>
      </c>
    </row>
    <row r="8" spans="1:7" x14ac:dyDescent="0.2">
      <c r="A8" s="129" t="s">
        <v>2465</v>
      </c>
      <c r="B8" s="130"/>
      <c r="C8" s="130"/>
      <c r="D8" s="131">
        <f>0</f>
        <v>0</v>
      </c>
      <c r="E8" s="131">
        <f>0</f>
        <v>0</v>
      </c>
      <c r="F8" s="131">
        <f>0</f>
        <v>0</v>
      </c>
      <c r="G8" s="131">
        <f t="shared" si="0"/>
        <v>0</v>
      </c>
    </row>
    <row r="9" spans="1:7" x14ac:dyDescent="0.2">
      <c r="A9" s="129" t="s">
        <v>531</v>
      </c>
      <c r="B9" s="130"/>
      <c r="C9" s="130"/>
      <c r="D9" s="130"/>
      <c r="E9" s="130"/>
      <c r="F9" s="131">
        <f>760</f>
        <v>760</v>
      </c>
      <c r="G9" s="131">
        <f t="shared" si="0"/>
        <v>760</v>
      </c>
    </row>
    <row r="10" spans="1:7" x14ac:dyDescent="0.2">
      <c r="A10" s="129" t="s">
        <v>103</v>
      </c>
      <c r="B10" s="130"/>
      <c r="C10" s="130"/>
      <c r="D10" s="130"/>
      <c r="E10" s="130"/>
      <c r="F10" s="131">
        <f>1507</f>
        <v>1507</v>
      </c>
      <c r="G10" s="131">
        <f t="shared" si="0"/>
        <v>1507</v>
      </c>
    </row>
    <row r="11" spans="1:7" x14ac:dyDescent="0.2">
      <c r="A11" s="129" t="s">
        <v>104</v>
      </c>
      <c r="B11" s="130"/>
      <c r="C11" s="131">
        <f>-1275</f>
        <v>-1275</v>
      </c>
      <c r="D11" s="130"/>
      <c r="E11" s="130"/>
      <c r="F11" s="131">
        <f>1280</f>
        <v>1280</v>
      </c>
      <c r="G11" s="131">
        <f t="shared" si="0"/>
        <v>5</v>
      </c>
    </row>
    <row r="12" spans="1:7" x14ac:dyDescent="0.2">
      <c r="A12" s="129" t="s">
        <v>105</v>
      </c>
      <c r="B12" s="130"/>
      <c r="C12" s="130"/>
      <c r="D12" s="130"/>
      <c r="E12" s="130"/>
      <c r="F12" s="131">
        <f>1320</f>
        <v>1320</v>
      </c>
      <c r="G12" s="131">
        <f t="shared" si="0"/>
        <v>1320</v>
      </c>
    </row>
    <row r="13" spans="1:7" x14ac:dyDescent="0.2">
      <c r="A13" s="129" t="s">
        <v>2466</v>
      </c>
      <c r="B13" s="130"/>
      <c r="C13" s="130"/>
      <c r="D13" s="130"/>
      <c r="E13" s="130"/>
      <c r="F13" s="131">
        <f>0</f>
        <v>0</v>
      </c>
      <c r="G13" s="131">
        <f t="shared" si="0"/>
        <v>0</v>
      </c>
    </row>
    <row r="14" spans="1:7" x14ac:dyDescent="0.2">
      <c r="A14" s="129" t="s">
        <v>2467</v>
      </c>
      <c r="B14" s="130"/>
      <c r="C14" s="130"/>
      <c r="D14" s="130"/>
      <c r="E14" s="130"/>
      <c r="F14" s="131">
        <f>0</f>
        <v>0</v>
      </c>
      <c r="G14" s="131">
        <f t="shared" si="0"/>
        <v>0</v>
      </c>
    </row>
    <row r="15" spans="1:7" x14ac:dyDescent="0.2">
      <c r="A15" s="129" t="s">
        <v>2468</v>
      </c>
      <c r="B15" s="130"/>
      <c r="C15" s="130"/>
      <c r="D15" s="130"/>
      <c r="E15" s="130"/>
      <c r="F15" s="131">
        <f>0</f>
        <v>0</v>
      </c>
      <c r="G15" s="131">
        <f t="shared" si="0"/>
        <v>0</v>
      </c>
    </row>
    <row r="16" spans="1:7" x14ac:dyDescent="0.2">
      <c r="A16" s="129" t="s">
        <v>107</v>
      </c>
      <c r="B16" s="130"/>
      <c r="C16" s="130"/>
      <c r="D16" s="131">
        <f>-322.5</f>
        <v>-322.5</v>
      </c>
      <c r="E16" s="130"/>
      <c r="F16" s="131">
        <f>322.5</f>
        <v>322.5</v>
      </c>
      <c r="G16" s="131">
        <f t="shared" si="0"/>
        <v>0</v>
      </c>
    </row>
    <row r="17" spans="1:7" x14ac:dyDescent="0.2">
      <c r="A17" s="129" t="s">
        <v>108</v>
      </c>
      <c r="B17" s="130"/>
      <c r="C17" s="130"/>
      <c r="D17" s="130"/>
      <c r="E17" s="130"/>
      <c r="F17" s="131">
        <f>5</f>
        <v>5</v>
      </c>
      <c r="G17" s="131">
        <f t="shared" si="0"/>
        <v>5</v>
      </c>
    </row>
    <row r="18" spans="1:7" x14ac:dyDescent="0.2">
      <c r="A18" s="129" t="s">
        <v>110</v>
      </c>
      <c r="B18" s="130"/>
      <c r="C18" s="130"/>
      <c r="D18" s="130"/>
      <c r="E18" s="130"/>
      <c r="F18" s="131">
        <f>0</f>
        <v>0</v>
      </c>
      <c r="G18" s="131">
        <f t="shared" si="0"/>
        <v>0</v>
      </c>
    </row>
    <row r="19" spans="1:7" x14ac:dyDescent="0.2">
      <c r="A19" s="129" t="s">
        <v>111</v>
      </c>
      <c r="B19" s="130"/>
      <c r="C19" s="131">
        <f>-54</f>
        <v>-54</v>
      </c>
      <c r="D19" s="130"/>
      <c r="E19" s="130"/>
      <c r="F19" s="131">
        <f>54</f>
        <v>54</v>
      </c>
      <c r="G19" s="131">
        <f t="shared" si="0"/>
        <v>0</v>
      </c>
    </row>
    <row r="20" spans="1:7" x14ac:dyDescent="0.2">
      <c r="A20" s="129" t="s">
        <v>2469</v>
      </c>
      <c r="B20" s="130"/>
      <c r="C20" s="130"/>
      <c r="D20" s="130"/>
      <c r="E20" s="130"/>
      <c r="F20" s="131">
        <f>0</f>
        <v>0</v>
      </c>
      <c r="G20" s="131">
        <f t="shared" si="0"/>
        <v>0</v>
      </c>
    </row>
    <row r="21" spans="1:7" x14ac:dyDescent="0.2">
      <c r="A21" s="129" t="s">
        <v>112</v>
      </c>
      <c r="B21" s="130"/>
      <c r="C21" s="130"/>
      <c r="D21" s="130"/>
      <c r="E21" s="130"/>
      <c r="F21" s="131">
        <f>775</f>
        <v>775</v>
      </c>
      <c r="G21" s="131">
        <f t="shared" si="0"/>
        <v>775</v>
      </c>
    </row>
    <row r="22" spans="1:7" x14ac:dyDescent="0.2">
      <c r="A22" s="129" t="s">
        <v>2470</v>
      </c>
      <c r="B22" s="130"/>
      <c r="C22" s="130"/>
      <c r="D22" s="130"/>
      <c r="E22" s="130"/>
      <c r="F22" s="131">
        <f>0</f>
        <v>0</v>
      </c>
      <c r="G22" s="131">
        <f t="shared" si="0"/>
        <v>0</v>
      </c>
    </row>
    <row r="23" spans="1:7" x14ac:dyDescent="0.2">
      <c r="A23" s="129" t="s">
        <v>113</v>
      </c>
      <c r="B23" s="130"/>
      <c r="C23" s="130"/>
      <c r="D23" s="130"/>
      <c r="E23" s="130"/>
      <c r="F23" s="131">
        <f>3</f>
        <v>3</v>
      </c>
      <c r="G23" s="131">
        <f t="shared" si="0"/>
        <v>3</v>
      </c>
    </row>
    <row r="24" spans="1:7" x14ac:dyDescent="0.2">
      <c r="A24" s="129" t="s">
        <v>115</v>
      </c>
      <c r="B24" s="130"/>
      <c r="C24" s="130"/>
      <c r="D24" s="130"/>
      <c r="E24" s="130"/>
      <c r="F24" s="131">
        <f>5820</f>
        <v>5820</v>
      </c>
      <c r="G24" s="131">
        <f t="shared" si="0"/>
        <v>5820</v>
      </c>
    </row>
    <row r="25" spans="1:7" x14ac:dyDescent="0.2">
      <c r="A25" s="129" t="s">
        <v>2351</v>
      </c>
      <c r="B25" s="130"/>
      <c r="C25" s="130"/>
      <c r="D25" s="130"/>
      <c r="E25" s="130"/>
      <c r="F25" s="131">
        <f>0</f>
        <v>0</v>
      </c>
      <c r="G25" s="131">
        <f t="shared" si="0"/>
        <v>0</v>
      </c>
    </row>
    <row r="26" spans="1:7" x14ac:dyDescent="0.2">
      <c r="A26" s="129" t="s">
        <v>116</v>
      </c>
      <c r="B26" s="130"/>
      <c r="C26" s="130"/>
      <c r="D26" s="130"/>
      <c r="E26" s="130"/>
      <c r="F26" s="131">
        <f>445</f>
        <v>445</v>
      </c>
      <c r="G26" s="131">
        <f t="shared" si="0"/>
        <v>445</v>
      </c>
    </row>
    <row r="27" spans="1:7" x14ac:dyDescent="0.2">
      <c r="A27" s="129" t="s">
        <v>117</v>
      </c>
      <c r="B27" s="130"/>
      <c r="C27" s="131">
        <f>-222.85</f>
        <v>-222.85</v>
      </c>
      <c r="D27" s="130"/>
      <c r="E27" s="130"/>
      <c r="F27" s="131">
        <f>222.84</f>
        <v>222.84</v>
      </c>
      <c r="G27" s="131">
        <f t="shared" si="0"/>
        <v>-9.9999999999909051E-3</v>
      </c>
    </row>
    <row r="28" spans="1:7" x14ac:dyDescent="0.2">
      <c r="A28" s="129" t="s">
        <v>118</v>
      </c>
      <c r="B28" s="130"/>
      <c r="C28" s="130"/>
      <c r="D28" s="130"/>
      <c r="E28" s="130"/>
      <c r="F28" s="131">
        <f>137.5</f>
        <v>137.5</v>
      </c>
      <c r="G28" s="131">
        <f t="shared" si="0"/>
        <v>137.5</v>
      </c>
    </row>
    <row r="29" spans="1:7" x14ac:dyDescent="0.2">
      <c r="A29" s="129" t="s">
        <v>119</v>
      </c>
      <c r="B29" s="130"/>
      <c r="C29" s="130"/>
      <c r="D29" s="130"/>
      <c r="E29" s="130"/>
      <c r="F29" s="131">
        <f>5</f>
        <v>5</v>
      </c>
      <c r="G29" s="131">
        <f t="shared" si="0"/>
        <v>5</v>
      </c>
    </row>
    <row r="30" spans="1:7" x14ac:dyDescent="0.2">
      <c r="A30" s="129" t="s">
        <v>120</v>
      </c>
      <c r="B30" s="130"/>
      <c r="C30" s="130"/>
      <c r="D30" s="130"/>
      <c r="E30" s="130"/>
      <c r="F30" s="131">
        <f>11135</f>
        <v>11135</v>
      </c>
      <c r="G30" s="131">
        <f t="shared" si="0"/>
        <v>11135</v>
      </c>
    </row>
    <row r="31" spans="1:7" x14ac:dyDescent="0.2">
      <c r="A31" s="129" t="s">
        <v>121</v>
      </c>
      <c r="B31" s="130"/>
      <c r="C31" s="130"/>
      <c r="D31" s="130"/>
      <c r="E31" s="130"/>
      <c r="F31" s="131">
        <f>85</f>
        <v>85</v>
      </c>
      <c r="G31" s="131">
        <f t="shared" si="0"/>
        <v>85</v>
      </c>
    </row>
    <row r="32" spans="1:7" x14ac:dyDescent="0.2">
      <c r="A32" s="129" t="s">
        <v>122</v>
      </c>
      <c r="B32" s="130"/>
      <c r="C32" s="130"/>
      <c r="D32" s="130"/>
      <c r="E32" s="130"/>
      <c r="F32" s="131">
        <f>1700</f>
        <v>1700</v>
      </c>
      <c r="G32" s="131">
        <f t="shared" si="0"/>
        <v>1700</v>
      </c>
    </row>
    <row r="33" spans="1:7" x14ac:dyDescent="0.2">
      <c r="A33" s="129" t="s">
        <v>2471</v>
      </c>
      <c r="B33" s="130"/>
      <c r="C33" s="130"/>
      <c r="D33" s="130"/>
      <c r="E33" s="130"/>
      <c r="F33" s="131">
        <f>0</f>
        <v>0</v>
      </c>
      <c r="G33" s="131">
        <f t="shared" si="0"/>
        <v>0</v>
      </c>
    </row>
    <row r="34" spans="1:7" x14ac:dyDescent="0.2">
      <c r="A34" s="129" t="s">
        <v>123</v>
      </c>
      <c r="B34" s="130"/>
      <c r="C34" s="130"/>
      <c r="D34" s="130"/>
      <c r="E34" s="130"/>
      <c r="F34" s="131">
        <f>0</f>
        <v>0</v>
      </c>
      <c r="G34" s="131">
        <f t="shared" si="0"/>
        <v>0</v>
      </c>
    </row>
    <row r="35" spans="1:7" x14ac:dyDescent="0.2">
      <c r="A35" s="129" t="s">
        <v>1227</v>
      </c>
      <c r="B35" s="130"/>
      <c r="C35" s="130"/>
      <c r="D35" s="130"/>
      <c r="E35" s="130"/>
      <c r="F35" s="131">
        <f>2200</f>
        <v>2200</v>
      </c>
      <c r="G35" s="131">
        <f t="shared" si="0"/>
        <v>2200</v>
      </c>
    </row>
    <row r="36" spans="1:7" x14ac:dyDescent="0.2">
      <c r="A36" s="129" t="s">
        <v>124</v>
      </c>
      <c r="B36" s="130"/>
      <c r="C36" s="130"/>
      <c r="D36" s="130"/>
      <c r="E36" s="130"/>
      <c r="F36" s="131">
        <f>900</f>
        <v>900</v>
      </c>
      <c r="G36" s="131">
        <f t="shared" si="0"/>
        <v>900</v>
      </c>
    </row>
    <row r="37" spans="1:7" x14ac:dyDescent="0.2">
      <c r="A37" s="129" t="s">
        <v>125</v>
      </c>
      <c r="B37" s="130"/>
      <c r="C37" s="130"/>
      <c r="D37" s="130"/>
      <c r="E37" s="130"/>
      <c r="F37" s="131">
        <f>2805</f>
        <v>2805</v>
      </c>
      <c r="G37" s="131">
        <f t="shared" si="0"/>
        <v>2805</v>
      </c>
    </row>
    <row r="38" spans="1:7" x14ac:dyDescent="0.2">
      <c r="A38" s="129" t="s">
        <v>126</v>
      </c>
      <c r="B38" s="130"/>
      <c r="C38" s="130"/>
      <c r="D38" s="130"/>
      <c r="E38" s="130"/>
      <c r="F38" s="131">
        <f>750</f>
        <v>750</v>
      </c>
      <c r="G38" s="131">
        <f t="shared" si="0"/>
        <v>750</v>
      </c>
    </row>
    <row r="39" spans="1:7" x14ac:dyDescent="0.2">
      <c r="A39" s="129" t="s">
        <v>2472</v>
      </c>
      <c r="B39" s="130"/>
      <c r="C39" s="130"/>
      <c r="D39" s="130"/>
      <c r="E39" s="130"/>
      <c r="F39" s="131">
        <f>0</f>
        <v>0</v>
      </c>
      <c r="G39" s="131">
        <f t="shared" si="0"/>
        <v>0</v>
      </c>
    </row>
    <row r="40" spans="1:7" x14ac:dyDescent="0.2">
      <c r="A40" s="129" t="s">
        <v>127</v>
      </c>
      <c r="B40" s="130"/>
      <c r="C40" s="130"/>
      <c r="D40" s="130"/>
      <c r="E40" s="130"/>
      <c r="F40" s="131">
        <f>5</f>
        <v>5</v>
      </c>
      <c r="G40" s="131">
        <f t="shared" si="0"/>
        <v>5</v>
      </c>
    </row>
    <row r="41" spans="1:7" x14ac:dyDescent="0.2">
      <c r="A41" s="129" t="s">
        <v>128</v>
      </c>
      <c r="B41" s="130"/>
      <c r="C41" s="131">
        <f>-147</f>
        <v>-147</v>
      </c>
      <c r="D41" s="130"/>
      <c r="E41" s="130"/>
      <c r="F41" s="131">
        <f>50</f>
        <v>50</v>
      </c>
      <c r="G41" s="131">
        <f t="shared" si="0"/>
        <v>-97</v>
      </c>
    </row>
    <row r="42" spans="1:7" x14ac:dyDescent="0.2">
      <c r="A42" s="129" t="s">
        <v>129</v>
      </c>
      <c r="B42" s="130"/>
      <c r="C42" s="131">
        <f>606</f>
        <v>606</v>
      </c>
      <c r="D42" s="130"/>
      <c r="E42" s="130"/>
      <c r="F42" s="130"/>
      <c r="G42" s="131">
        <f t="shared" si="0"/>
        <v>606</v>
      </c>
    </row>
    <row r="43" spans="1:7" x14ac:dyDescent="0.2">
      <c r="A43" s="129" t="s">
        <v>130</v>
      </c>
      <c r="B43" s="130"/>
      <c r="C43" s="130"/>
      <c r="D43" s="130"/>
      <c r="E43" s="130"/>
      <c r="F43" s="131">
        <f>2705</f>
        <v>2705</v>
      </c>
      <c r="G43" s="131">
        <f t="shared" si="0"/>
        <v>2705</v>
      </c>
    </row>
    <row r="44" spans="1:7" x14ac:dyDescent="0.2">
      <c r="A44" s="129" t="s">
        <v>131</v>
      </c>
      <c r="B44" s="130"/>
      <c r="C44" s="130"/>
      <c r="D44" s="130"/>
      <c r="E44" s="130"/>
      <c r="F44" s="131">
        <f>5</f>
        <v>5</v>
      </c>
      <c r="G44" s="131">
        <f t="shared" si="0"/>
        <v>5</v>
      </c>
    </row>
    <row r="45" spans="1:7" x14ac:dyDescent="0.2">
      <c r="A45" s="129" t="s">
        <v>132</v>
      </c>
      <c r="B45" s="130"/>
      <c r="C45" s="130"/>
      <c r="D45" s="130"/>
      <c r="E45" s="130"/>
      <c r="F45" s="131">
        <f>-95</f>
        <v>-95</v>
      </c>
      <c r="G45" s="131">
        <f t="shared" si="0"/>
        <v>-95</v>
      </c>
    </row>
    <row r="46" spans="1:7" x14ac:dyDescent="0.2">
      <c r="A46" s="129" t="s">
        <v>133</v>
      </c>
      <c r="B46" s="130"/>
      <c r="C46" s="130"/>
      <c r="D46" s="130"/>
      <c r="E46" s="130"/>
      <c r="F46" s="131">
        <f>1840</f>
        <v>1840</v>
      </c>
      <c r="G46" s="131">
        <f t="shared" si="0"/>
        <v>1840</v>
      </c>
    </row>
    <row r="47" spans="1:7" x14ac:dyDescent="0.2">
      <c r="A47" s="129" t="s">
        <v>532</v>
      </c>
      <c r="B47" s="130"/>
      <c r="C47" s="130"/>
      <c r="D47" s="130"/>
      <c r="E47" s="130"/>
      <c r="F47" s="131">
        <f>740</f>
        <v>740</v>
      </c>
      <c r="G47" s="131">
        <f t="shared" si="0"/>
        <v>740</v>
      </c>
    </row>
    <row r="48" spans="1:7" x14ac:dyDescent="0.2">
      <c r="A48" s="129" t="s">
        <v>134</v>
      </c>
      <c r="B48" s="130"/>
      <c r="C48" s="131">
        <f>-250</f>
        <v>-250</v>
      </c>
      <c r="D48" s="130"/>
      <c r="E48" s="130"/>
      <c r="F48" s="131">
        <f>2</f>
        <v>2</v>
      </c>
      <c r="G48" s="131">
        <f t="shared" si="0"/>
        <v>-248</v>
      </c>
    </row>
    <row r="49" spans="1:7" x14ac:dyDescent="0.2">
      <c r="A49" s="129" t="s">
        <v>135</v>
      </c>
      <c r="B49" s="130"/>
      <c r="C49" s="130"/>
      <c r="D49" s="130"/>
      <c r="E49" s="130"/>
      <c r="F49" s="131">
        <f>660</f>
        <v>660</v>
      </c>
      <c r="G49" s="131">
        <f t="shared" si="0"/>
        <v>660</v>
      </c>
    </row>
    <row r="50" spans="1:7" x14ac:dyDescent="0.2">
      <c r="A50" s="129" t="s">
        <v>136</v>
      </c>
      <c r="B50" s="130"/>
      <c r="C50" s="130"/>
      <c r="D50" s="130"/>
      <c r="E50" s="130"/>
      <c r="F50" s="131">
        <f>0</f>
        <v>0</v>
      </c>
      <c r="G50" s="131">
        <f t="shared" si="0"/>
        <v>0</v>
      </c>
    </row>
    <row r="51" spans="1:7" x14ac:dyDescent="0.2">
      <c r="A51" s="129" t="s">
        <v>137</v>
      </c>
      <c r="B51" s="130"/>
      <c r="C51" s="130"/>
      <c r="D51" s="130"/>
      <c r="E51" s="131">
        <f>-293.5</f>
        <v>-293.5</v>
      </c>
      <c r="F51" s="131">
        <f>553.5</f>
        <v>553.5</v>
      </c>
      <c r="G51" s="131">
        <f t="shared" si="0"/>
        <v>260</v>
      </c>
    </row>
    <row r="52" spans="1:7" x14ac:dyDescent="0.2">
      <c r="A52" s="129" t="s">
        <v>139</v>
      </c>
      <c r="B52" s="130"/>
      <c r="C52" s="130"/>
      <c r="D52" s="130"/>
      <c r="E52" s="130"/>
      <c r="F52" s="131">
        <f>210</f>
        <v>210</v>
      </c>
      <c r="G52" s="131">
        <f t="shared" si="0"/>
        <v>210</v>
      </c>
    </row>
    <row r="53" spans="1:7" x14ac:dyDescent="0.2">
      <c r="A53" s="129" t="s">
        <v>141</v>
      </c>
      <c r="B53" s="130"/>
      <c r="C53" s="131">
        <f>-0.44</f>
        <v>-0.44</v>
      </c>
      <c r="D53" s="130"/>
      <c r="E53" s="130"/>
      <c r="F53" s="131">
        <f>5</f>
        <v>5</v>
      </c>
      <c r="G53" s="131">
        <f t="shared" si="0"/>
        <v>4.5599999999999996</v>
      </c>
    </row>
    <row r="54" spans="1:7" x14ac:dyDescent="0.2">
      <c r="A54" s="129" t="s">
        <v>1331</v>
      </c>
      <c r="B54" s="130"/>
      <c r="C54" s="130"/>
      <c r="D54" s="130"/>
      <c r="E54" s="130"/>
      <c r="F54" s="131">
        <f>4350</f>
        <v>4350</v>
      </c>
      <c r="G54" s="131">
        <f t="shared" si="0"/>
        <v>4350</v>
      </c>
    </row>
    <row r="55" spans="1:7" x14ac:dyDescent="0.2">
      <c r="A55" s="129" t="s">
        <v>142</v>
      </c>
      <c r="B55" s="130"/>
      <c r="C55" s="130"/>
      <c r="D55" s="130"/>
      <c r="E55" s="130"/>
      <c r="F55" s="131">
        <f>99</f>
        <v>99</v>
      </c>
      <c r="G55" s="131">
        <f t="shared" si="0"/>
        <v>99</v>
      </c>
    </row>
    <row r="56" spans="1:7" x14ac:dyDescent="0.2">
      <c r="A56" s="129" t="s">
        <v>751</v>
      </c>
      <c r="B56" s="130"/>
      <c r="C56" s="130"/>
      <c r="D56" s="130"/>
      <c r="E56" s="130"/>
      <c r="F56" s="131">
        <f>1400</f>
        <v>1400</v>
      </c>
      <c r="G56" s="131">
        <f t="shared" si="0"/>
        <v>1400</v>
      </c>
    </row>
    <row r="57" spans="1:7" x14ac:dyDescent="0.2">
      <c r="A57" s="129" t="s">
        <v>2473</v>
      </c>
      <c r="B57" s="130"/>
      <c r="C57" s="130"/>
      <c r="D57" s="130"/>
      <c r="E57" s="130"/>
      <c r="F57" s="131">
        <f>0</f>
        <v>0</v>
      </c>
      <c r="G57" s="131">
        <f t="shared" si="0"/>
        <v>0</v>
      </c>
    </row>
    <row r="58" spans="1:7" x14ac:dyDescent="0.2">
      <c r="A58" s="129" t="s">
        <v>143</v>
      </c>
      <c r="B58" s="130"/>
      <c r="C58" s="130"/>
      <c r="D58" s="130"/>
      <c r="E58" s="130"/>
      <c r="F58" s="131">
        <f>1960</f>
        <v>1960</v>
      </c>
      <c r="G58" s="131">
        <f t="shared" si="0"/>
        <v>1960</v>
      </c>
    </row>
    <row r="59" spans="1:7" x14ac:dyDescent="0.2">
      <c r="A59" s="129" t="s">
        <v>144</v>
      </c>
      <c r="B59" s="130"/>
      <c r="C59" s="130"/>
      <c r="D59" s="130"/>
      <c r="E59" s="130"/>
      <c r="F59" s="131">
        <f>105</f>
        <v>105</v>
      </c>
      <c r="G59" s="131">
        <f t="shared" si="0"/>
        <v>105</v>
      </c>
    </row>
    <row r="60" spans="1:7" x14ac:dyDescent="0.2">
      <c r="A60" s="129" t="s">
        <v>2474</v>
      </c>
      <c r="B60" s="130"/>
      <c r="C60" s="130"/>
      <c r="D60" s="130"/>
      <c r="E60" s="130"/>
      <c r="F60" s="131">
        <f>0</f>
        <v>0</v>
      </c>
      <c r="G60" s="131">
        <f t="shared" si="0"/>
        <v>0</v>
      </c>
    </row>
    <row r="61" spans="1:7" x14ac:dyDescent="0.2">
      <c r="A61" s="129" t="s">
        <v>145</v>
      </c>
      <c r="B61" s="130"/>
      <c r="C61" s="131">
        <f>-150</f>
        <v>-150</v>
      </c>
      <c r="D61" s="130"/>
      <c r="E61" s="130"/>
      <c r="F61" s="130"/>
      <c r="G61" s="131">
        <f t="shared" si="0"/>
        <v>-150</v>
      </c>
    </row>
    <row r="62" spans="1:7" x14ac:dyDescent="0.2">
      <c r="A62" s="129" t="s">
        <v>2475</v>
      </c>
      <c r="B62" s="130"/>
      <c r="C62" s="130"/>
      <c r="D62" s="130"/>
      <c r="E62" s="130"/>
      <c r="F62" s="131">
        <f>0</f>
        <v>0</v>
      </c>
      <c r="G62" s="131">
        <f t="shared" si="0"/>
        <v>0</v>
      </c>
    </row>
    <row r="63" spans="1:7" x14ac:dyDescent="0.2">
      <c r="A63" s="129" t="s">
        <v>146</v>
      </c>
      <c r="B63" s="130"/>
      <c r="C63" s="130"/>
      <c r="D63" s="130"/>
      <c r="E63" s="130"/>
      <c r="F63" s="131">
        <f>400</f>
        <v>400</v>
      </c>
      <c r="G63" s="131">
        <f t="shared" si="0"/>
        <v>400</v>
      </c>
    </row>
    <row r="64" spans="1:7" x14ac:dyDescent="0.2">
      <c r="A64" s="129" t="s">
        <v>8</v>
      </c>
      <c r="B64" s="132">
        <f>(((((((((((((((((((((((((((((((((((((((((((((((((((((((((B6)+(B7))+(B8))+(B9))+(B10))+(B11))+(B12))+(B13))+(B14))+(B15))+(B16))+(B17))+(B18))+(B19))+(B20))+(B21))+(B22))+(B23))+(B24))+(B25))+(B26))+(B27))+(B28))+(B29))+(B30))+(B31))+(B32))+(B33))+(B34))+(B35))+(B36))+(B37))+(B38))+(B39))+(B40))+(B41))+(B42))+(B43))+(B44))+(B45))+(B46))+(B47))+(B48))+(B49))+(B50))+(B51))+(B52))+(B53))+(B54))+(B55))+(B56))+(B57))+(B58))+(B59))+(B60))+(B61))+(B62))+(B63)</f>
        <v>0</v>
      </c>
      <c r="C64" s="132">
        <f>(((((((((((((((((((((((((((((((((((((((((((((((((((((((((C6)+(C7))+(C8))+(C9))+(C10))+(C11))+(C12))+(C13))+(C14))+(C15))+(C16))+(C17))+(C18))+(C19))+(C20))+(C21))+(C22))+(C23))+(C24))+(C25))+(C26))+(C27))+(C28))+(C29))+(C30))+(C31))+(C32))+(C33))+(C34))+(C35))+(C36))+(C37))+(C38))+(C39))+(C40))+(C41))+(C42))+(C43))+(C44))+(C45))+(C46))+(C47))+(C48))+(C49))+(C50))+(C51))+(C52))+(C53))+(C54))+(C55))+(C56))+(C57))+(C58))+(C59))+(C60))+(C61))+(C62))+(C63)</f>
        <v>-1493.29</v>
      </c>
      <c r="D64" s="132">
        <f>(((((((((((((((((((((((((((((((((((((((((((((((((((((((((D6)+(D7))+(D8))+(D9))+(D10))+(D11))+(D12))+(D13))+(D14))+(D15))+(D16))+(D17))+(D18))+(D19))+(D20))+(D21))+(D22))+(D23))+(D24))+(D25))+(D26))+(D27))+(D28))+(D29))+(D30))+(D31))+(D32))+(D33))+(D34))+(D35))+(D36))+(D37))+(D38))+(D39))+(D40))+(D41))+(D42))+(D43))+(D44))+(D45))+(D46))+(D47))+(D48))+(D49))+(D50))+(D51))+(D52))+(D53))+(D54))+(D55))+(D56))+(D57))+(D58))+(D59))+(D60))+(D61))+(D62))+(D63)</f>
        <v>-322.5</v>
      </c>
      <c r="E64" s="132">
        <f>(((((((((((((((((((((((((((((((((((((((((((((((((((((((((E6)+(E7))+(E8))+(E9))+(E10))+(E11))+(E12))+(E13))+(E14))+(E15))+(E16))+(E17))+(E18))+(E19))+(E20))+(E21))+(E22))+(E23))+(E24))+(E25))+(E26))+(E27))+(E28))+(E29))+(E30))+(E31))+(E32))+(E33))+(E34))+(E35))+(E36))+(E37))+(E38))+(E39))+(E40))+(E41))+(E42))+(E43))+(E44))+(E45))+(E46))+(E47))+(E48))+(E49))+(E50))+(E51))+(E52))+(E53))+(E54))+(E55))+(E56))+(E57))+(E58))+(E59))+(E60))+(E61))+(E62))+(E63)</f>
        <v>-293.5</v>
      </c>
      <c r="F64" s="132">
        <f>(((((((((((((((((((((((((((((((((((((((((((((((((((((((((F6)+(F7))+(F8))+(F9))+(F10))+(F11))+(F12))+(F13))+(F14))+(F15))+(F16))+(F17))+(F18))+(F19))+(F20))+(F21))+(F22))+(F23))+(F24))+(F25))+(F26))+(F27))+(F28))+(F29))+(F30))+(F31))+(F32))+(F33))+(F34))+(F35))+(F36))+(F37))+(F38))+(F39))+(F40))+(F41))+(F42))+(F43))+(F44))+(F45))+(F46))+(F47))+(F48))+(F49))+(F50))+(F51))+(F52))+(F53))+(F54))+(F55))+(F56))+(F57))+(F58))+(F59))+(F60))+(F61))+(F62))+(F63)</f>
        <v>47226.34</v>
      </c>
      <c r="G64" s="132">
        <f t="shared" si="0"/>
        <v>45117.049999999996</v>
      </c>
    </row>
    <row r="65" spans="1:7" x14ac:dyDescent="0.2">
      <c r="A65" s="129"/>
      <c r="B65" s="130"/>
      <c r="C65" s="130"/>
      <c r="D65" s="130"/>
      <c r="E65" s="130"/>
      <c r="F65" s="130"/>
      <c r="G65" s="130"/>
    </row>
    <row r="68" spans="1:7" x14ac:dyDescent="0.2">
      <c r="A68" s="334" t="s">
        <v>2681</v>
      </c>
      <c r="B68" s="335"/>
      <c r="C68" s="335"/>
      <c r="D68" s="335"/>
      <c r="E68" s="335"/>
      <c r="F68" s="335"/>
      <c r="G68" s="335"/>
    </row>
  </sheetData>
  <mergeCells count="4">
    <mergeCell ref="A1:G1"/>
    <mergeCell ref="A2:G2"/>
    <mergeCell ref="A3:G3"/>
    <mergeCell ref="A68:G6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F6DD3-461D-41D3-AFA8-898C2A3024D2}">
  <dimension ref="A1:V256"/>
  <sheetViews>
    <sheetView zoomScaleNormal="100" workbookViewId="0">
      <pane ySplit="5" topLeftCell="A242" activePane="bottomLeft" state="frozen"/>
      <selection pane="bottomLeft"/>
    </sheetView>
  </sheetViews>
  <sheetFormatPr baseColWidth="10" defaultColWidth="8.83203125" defaultRowHeight="15" x14ac:dyDescent="0.2"/>
  <cols>
    <col min="2" max="2" width="20.5" customWidth="1"/>
    <col min="3" max="3" width="17.5" customWidth="1"/>
    <col min="4" max="4" width="2.83203125" customWidth="1"/>
    <col min="5" max="5" width="16.83203125" customWidth="1"/>
    <col min="6" max="6" width="3.5" customWidth="1"/>
    <col min="7" max="7" width="13.33203125" customWidth="1"/>
    <col min="8" max="8" width="12.5" customWidth="1"/>
    <col min="9" max="9" width="13.5" customWidth="1"/>
    <col min="10" max="11" width="16.83203125" customWidth="1"/>
    <col min="12" max="12" width="13.33203125" customWidth="1"/>
    <col min="13" max="13" width="16.83203125" customWidth="1"/>
    <col min="14" max="14" width="13.1640625" customWidth="1"/>
    <col min="15" max="15" width="2.5" customWidth="1"/>
    <col min="16" max="16" width="16.5" customWidth="1"/>
    <col min="17" max="17" width="22" style="1" customWidth="1"/>
    <col min="18" max="19" width="9.1640625" style="1"/>
    <col min="21" max="21" width="21.1640625" customWidth="1"/>
    <col min="22" max="22" width="18.6640625" customWidth="1"/>
  </cols>
  <sheetData>
    <row r="1" spans="1:17" x14ac:dyDescent="0.2">
      <c r="A1" t="s">
        <v>64</v>
      </c>
    </row>
    <row r="2" spans="1:17" x14ac:dyDescent="0.2">
      <c r="A2" t="s">
        <v>1729</v>
      </c>
    </row>
    <row r="5" spans="1:17" ht="45.75" customHeight="1" x14ac:dyDescent="0.2">
      <c r="A5" t="s">
        <v>1730</v>
      </c>
      <c r="C5" s="84" t="s">
        <v>1731</v>
      </c>
      <c r="E5" s="84" t="s">
        <v>1732</v>
      </c>
      <c r="F5" s="113"/>
      <c r="G5" s="84" t="s">
        <v>1733</v>
      </c>
      <c r="H5" s="113" t="s">
        <v>1734</v>
      </c>
      <c r="J5" s="84" t="s">
        <v>1735</v>
      </c>
      <c r="K5" s="84" t="s">
        <v>1736</v>
      </c>
      <c r="L5" s="84" t="s">
        <v>1737</v>
      </c>
      <c r="M5" s="84" t="s">
        <v>1734</v>
      </c>
      <c r="N5" s="84" t="s">
        <v>1738</v>
      </c>
      <c r="P5" s="109" t="s">
        <v>1739</v>
      </c>
      <c r="Q5" s="111" t="s">
        <v>1740</v>
      </c>
    </row>
    <row r="7" spans="1:17" x14ac:dyDescent="0.2">
      <c r="A7" s="114" t="s">
        <v>1741</v>
      </c>
      <c r="C7" s="115">
        <v>45310</v>
      </c>
      <c r="E7" s="1">
        <v>3317.68</v>
      </c>
      <c r="F7" s="1"/>
      <c r="G7" s="1">
        <v>874.94</v>
      </c>
      <c r="H7" s="1">
        <v>-7.81</v>
      </c>
      <c r="I7" s="1"/>
      <c r="J7" s="1">
        <v>3239.72</v>
      </c>
      <c r="K7" s="1"/>
      <c r="L7" s="1">
        <v>956.42</v>
      </c>
      <c r="M7" s="1">
        <v>-13.39</v>
      </c>
      <c r="P7" s="1">
        <f>SUM(J7:M7)</f>
        <v>4182.7499999999991</v>
      </c>
    </row>
    <row r="8" spans="1:17" x14ac:dyDescent="0.2">
      <c r="E8" s="1"/>
      <c r="F8" s="1"/>
      <c r="G8" s="1"/>
      <c r="H8" s="1"/>
      <c r="I8" s="1"/>
      <c r="J8" s="1"/>
      <c r="K8" s="1"/>
      <c r="L8" s="1"/>
      <c r="M8" s="1"/>
    </row>
    <row r="9" spans="1:17" x14ac:dyDescent="0.2">
      <c r="C9" t="s">
        <v>1742</v>
      </c>
      <c r="E9" s="1"/>
      <c r="F9" s="1"/>
      <c r="G9" s="1"/>
      <c r="H9" s="1"/>
      <c r="I9" s="112">
        <f>E7+J7</f>
        <v>6557.4</v>
      </c>
      <c r="J9" s="1"/>
      <c r="K9" s="1"/>
      <c r="L9" s="1"/>
      <c r="M9" s="1"/>
    </row>
    <row r="10" spans="1:17" x14ac:dyDescent="0.2">
      <c r="C10" t="s">
        <v>1743</v>
      </c>
      <c r="E10" s="1"/>
      <c r="F10" s="1"/>
      <c r="G10" s="1"/>
      <c r="H10" s="1"/>
      <c r="I10" s="112">
        <f>G7+H7+L7+M7</f>
        <v>1810.16</v>
      </c>
      <c r="J10" s="1"/>
      <c r="K10" s="1"/>
      <c r="L10" s="1"/>
      <c r="M10" s="1"/>
    </row>
    <row r="11" spans="1:17" x14ac:dyDescent="0.2">
      <c r="E11" s="1"/>
      <c r="F11" s="1"/>
      <c r="G11" s="1"/>
      <c r="H11" s="1"/>
      <c r="I11" s="1"/>
      <c r="J11" s="1"/>
      <c r="K11" s="1"/>
      <c r="L11" s="1"/>
      <c r="M11" s="1"/>
    </row>
    <row r="12" spans="1:17" x14ac:dyDescent="0.2">
      <c r="E12" s="1"/>
      <c r="F12" s="1"/>
      <c r="G12" s="1"/>
      <c r="H12" s="1"/>
      <c r="I12" s="1"/>
      <c r="J12" s="1"/>
      <c r="K12" s="1"/>
      <c r="L12" s="1"/>
      <c r="M12" s="1"/>
    </row>
    <row r="13" spans="1:17" x14ac:dyDescent="0.2">
      <c r="E13" s="1"/>
      <c r="F13" s="1"/>
      <c r="G13" s="1"/>
      <c r="H13" s="1"/>
      <c r="I13" s="1"/>
      <c r="J13" s="1"/>
      <c r="K13" s="1"/>
      <c r="L13" s="1"/>
      <c r="M13" s="1"/>
    </row>
    <row r="14" spans="1:17" x14ac:dyDescent="0.2">
      <c r="A14" s="114" t="s">
        <v>1744</v>
      </c>
      <c r="C14" s="115">
        <v>45324</v>
      </c>
      <c r="E14" s="1">
        <v>3133.37</v>
      </c>
      <c r="F14" s="1"/>
      <c r="G14" s="1">
        <v>846.64</v>
      </c>
      <c r="H14" s="1">
        <v>-8.02</v>
      </c>
      <c r="I14" s="1"/>
      <c r="J14" s="1">
        <v>2998.69</v>
      </c>
      <c r="K14" s="1"/>
      <c r="L14" s="1">
        <v>980.76199999999994</v>
      </c>
      <c r="M14" s="1">
        <v>-13.39</v>
      </c>
      <c r="P14" s="1">
        <f>SUM(J14:O14)</f>
        <v>3966.0620000000004</v>
      </c>
    </row>
    <row r="15" spans="1:17" x14ac:dyDescent="0.2">
      <c r="E15" s="1"/>
      <c r="F15" s="1"/>
      <c r="G15" s="1"/>
      <c r="H15" s="1"/>
      <c r="I15" s="1"/>
      <c r="J15" s="1"/>
      <c r="K15" s="1"/>
      <c r="L15" s="1"/>
      <c r="M15" s="1"/>
    </row>
    <row r="16" spans="1:17" x14ac:dyDescent="0.2">
      <c r="C16" t="s">
        <v>1742</v>
      </c>
      <c r="E16" s="1"/>
      <c r="F16" s="1"/>
      <c r="G16" s="1"/>
      <c r="H16" s="1"/>
      <c r="I16" s="112">
        <f>E14+J14</f>
        <v>6132.0599999999995</v>
      </c>
      <c r="J16" s="1"/>
      <c r="K16" s="1"/>
      <c r="L16" s="1"/>
      <c r="M16" s="1"/>
    </row>
    <row r="17" spans="1:16" x14ac:dyDescent="0.2">
      <c r="C17" t="s">
        <v>1745</v>
      </c>
      <c r="E17" s="1"/>
      <c r="F17" s="1"/>
      <c r="G17" s="1"/>
      <c r="H17" s="1"/>
      <c r="I17" s="112">
        <v>290</v>
      </c>
      <c r="J17" s="1"/>
      <c r="K17" s="1"/>
      <c r="L17" s="1"/>
      <c r="M17" s="1"/>
    </row>
    <row r="18" spans="1:16" x14ac:dyDescent="0.2">
      <c r="C18" t="s">
        <v>1743</v>
      </c>
      <c r="E18" s="1"/>
      <c r="F18" s="1"/>
      <c r="G18" s="1"/>
      <c r="H18" s="1"/>
      <c r="I18" s="112">
        <f>G14+H14+L14+M14</f>
        <v>1805.992</v>
      </c>
      <c r="J18" s="1"/>
      <c r="K18" s="1"/>
      <c r="L18" s="1"/>
      <c r="M18" s="1"/>
    </row>
    <row r="19" spans="1:16" x14ac:dyDescent="0.2">
      <c r="E19" s="1"/>
      <c r="F19" s="1"/>
      <c r="G19" s="1"/>
      <c r="H19" s="1"/>
      <c r="I19" s="1"/>
      <c r="J19" s="1"/>
      <c r="K19" s="1"/>
      <c r="L19" s="1"/>
      <c r="M19" s="1"/>
    </row>
    <row r="20" spans="1:16" x14ac:dyDescent="0.2">
      <c r="E20" s="1"/>
      <c r="F20" s="1"/>
      <c r="G20" s="1"/>
      <c r="H20" s="1"/>
      <c r="I20" s="1"/>
      <c r="J20" s="1"/>
      <c r="K20" s="1"/>
      <c r="L20" s="1"/>
      <c r="M20" s="1"/>
    </row>
    <row r="21" spans="1:16" x14ac:dyDescent="0.2">
      <c r="A21" s="114" t="s">
        <v>1746</v>
      </c>
      <c r="C21" s="115">
        <v>45338</v>
      </c>
      <c r="E21" s="1">
        <v>3041.83</v>
      </c>
      <c r="F21" s="1"/>
      <c r="G21" s="1">
        <v>821.51</v>
      </c>
      <c r="H21" s="1">
        <v>-7.82</v>
      </c>
      <c r="I21" s="1"/>
      <c r="J21" s="1">
        <v>2674.83</v>
      </c>
      <c r="K21" s="1"/>
      <c r="L21" s="1">
        <v>898.17</v>
      </c>
      <c r="M21" s="1">
        <v>-13.78</v>
      </c>
      <c r="P21" s="1">
        <f>SUM(J21:M21)</f>
        <v>3559.22</v>
      </c>
    </row>
    <row r="22" spans="1:16" x14ac:dyDescent="0.2">
      <c r="E22" s="1"/>
      <c r="F22" s="1"/>
      <c r="G22" s="1"/>
      <c r="H22" s="1"/>
      <c r="I22" s="1"/>
      <c r="J22" s="1"/>
      <c r="K22" s="1"/>
      <c r="L22" s="1"/>
      <c r="M22" s="1"/>
    </row>
    <row r="23" spans="1:16" x14ac:dyDescent="0.2">
      <c r="C23" t="s">
        <v>1742</v>
      </c>
      <c r="E23" s="1"/>
      <c r="F23" s="1"/>
      <c r="G23" s="1"/>
      <c r="H23" s="1"/>
      <c r="I23" s="112">
        <f>E21+J21</f>
        <v>5716.66</v>
      </c>
      <c r="J23" s="1"/>
      <c r="K23" s="1"/>
      <c r="L23" s="1"/>
      <c r="M23" s="1"/>
    </row>
    <row r="24" spans="1:16" x14ac:dyDescent="0.2">
      <c r="C24" t="s">
        <v>1745</v>
      </c>
      <c r="E24" s="1"/>
      <c r="F24" s="1"/>
      <c r="G24" s="1"/>
      <c r="H24" s="1"/>
      <c r="I24" s="112">
        <v>290</v>
      </c>
      <c r="J24" s="1"/>
      <c r="K24" s="1"/>
      <c r="L24" s="1"/>
      <c r="M24" s="1"/>
    </row>
    <row r="25" spans="1:16" x14ac:dyDescent="0.2">
      <c r="C25" t="s">
        <v>1743</v>
      </c>
      <c r="E25" s="1"/>
      <c r="F25" s="1"/>
      <c r="G25" s="1"/>
      <c r="H25" s="1"/>
      <c r="I25" s="112">
        <f>G21+H21+L21+M21</f>
        <v>1698.08</v>
      </c>
      <c r="J25" s="1"/>
      <c r="K25" s="1"/>
      <c r="L25" s="1"/>
      <c r="M25" s="1"/>
    </row>
    <row r="26" spans="1:16" x14ac:dyDescent="0.2">
      <c r="E26" s="1"/>
      <c r="F26" s="1"/>
      <c r="G26" s="1"/>
      <c r="H26" s="1"/>
      <c r="I26" s="1"/>
      <c r="J26" s="1"/>
      <c r="K26" s="1"/>
      <c r="L26" s="1"/>
      <c r="M26" s="1"/>
    </row>
    <row r="27" spans="1:16" x14ac:dyDescent="0.2">
      <c r="E27" s="1"/>
      <c r="F27" s="1"/>
      <c r="G27" s="1"/>
      <c r="H27" s="1"/>
      <c r="I27" s="1"/>
      <c r="J27" s="1"/>
      <c r="K27" s="1"/>
      <c r="L27" s="1"/>
      <c r="M27" s="1"/>
    </row>
    <row r="28" spans="1:16" x14ac:dyDescent="0.2">
      <c r="E28" s="1"/>
      <c r="F28" s="1"/>
      <c r="G28" s="1"/>
      <c r="H28" s="1"/>
      <c r="I28" s="1"/>
      <c r="J28" s="1"/>
      <c r="K28" s="1"/>
      <c r="L28" s="1"/>
      <c r="M28" s="1"/>
    </row>
    <row r="29" spans="1:16" x14ac:dyDescent="0.2">
      <c r="A29" s="114" t="s">
        <v>1747</v>
      </c>
      <c r="C29" s="115">
        <v>45352</v>
      </c>
      <c r="E29" s="1">
        <v>3300.83</v>
      </c>
      <c r="F29" s="1"/>
      <c r="G29" s="1">
        <v>878.63</v>
      </c>
      <c r="H29" s="1">
        <v>-7.84</v>
      </c>
      <c r="I29" s="1"/>
      <c r="J29" s="1">
        <v>2583.35</v>
      </c>
      <c r="K29" s="1"/>
      <c r="L29" s="1">
        <v>844.05</v>
      </c>
      <c r="M29" s="1">
        <v>-11.9</v>
      </c>
      <c r="P29" s="1">
        <f>SUM(J29:M29)</f>
        <v>3415.4999999999995</v>
      </c>
    </row>
    <row r="30" spans="1:16" x14ac:dyDescent="0.2">
      <c r="E30" s="1"/>
      <c r="F30" s="1"/>
      <c r="G30" s="1"/>
      <c r="H30" s="1"/>
      <c r="I30" s="1"/>
      <c r="J30" s="1"/>
      <c r="K30" s="1"/>
      <c r="L30" s="1"/>
      <c r="M30" s="1"/>
    </row>
    <row r="31" spans="1:16" x14ac:dyDescent="0.2">
      <c r="C31" t="s">
        <v>1742</v>
      </c>
      <c r="E31" s="1"/>
      <c r="F31" s="1"/>
      <c r="G31" s="1"/>
      <c r="H31" s="1"/>
      <c r="I31" s="112">
        <f>E29+J29</f>
        <v>5884.18</v>
      </c>
      <c r="J31" s="1"/>
      <c r="K31" s="1"/>
      <c r="L31" s="1"/>
      <c r="M31" s="1"/>
    </row>
    <row r="32" spans="1:16" x14ac:dyDescent="0.2">
      <c r="C32" t="s">
        <v>1745</v>
      </c>
      <c r="E32" s="1"/>
      <c r="F32" s="1"/>
      <c r="G32" s="1"/>
      <c r="H32" s="1"/>
      <c r="I32" s="112">
        <v>290</v>
      </c>
      <c r="J32" s="1"/>
      <c r="K32" s="1"/>
      <c r="L32" s="1"/>
      <c r="M32" s="1"/>
    </row>
    <row r="33" spans="1:16" x14ac:dyDescent="0.2">
      <c r="C33" t="s">
        <v>1743</v>
      </c>
      <c r="E33" s="1"/>
      <c r="F33" s="1"/>
      <c r="G33" s="1"/>
      <c r="H33" s="1"/>
      <c r="I33" s="112">
        <f>G29+H29+L29+M29</f>
        <v>1702.9399999999998</v>
      </c>
      <c r="J33" s="1"/>
      <c r="K33" s="1"/>
      <c r="L33" s="1"/>
      <c r="M33" s="1"/>
    </row>
    <row r="34" spans="1:16" x14ac:dyDescent="0.2">
      <c r="E34" s="1"/>
      <c r="F34" s="1"/>
      <c r="G34" s="1"/>
      <c r="H34" s="1"/>
      <c r="I34" s="1"/>
      <c r="J34" s="1"/>
      <c r="K34" s="1"/>
      <c r="L34" s="1"/>
      <c r="M34" s="1"/>
    </row>
    <row r="35" spans="1:16" x14ac:dyDescent="0.2">
      <c r="E35" s="1"/>
      <c r="F35" s="1"/>
      <c r="G35" s="1"/>
      <c r="H35" s="1"/>
      <c r="I35" s="1"/>
      <c r="J35" s="1"/>
      <c r="K35" s="1"/>
      <c r="L35" s="1"/>
      <c r="M35" s="1"/>
    </row>
    <row r="36" spans="1:16" x14ac:dyDescent="0.2">
      <c r="E36" s="1"/>
      <c r="F36" s="1"/>
      <c r="G36" s="1"/>
      <c r="H36" s="1"/>
      <c r="I36" s="1"/>
      <c r="J36" s="1"/>
      <c r="K36" s="1"/>
      <c r="L36" s="1"/>
      <c r="M36" s="1"/>
    </row>
    <row r="37" spans="1:16" x14ac:dyDescent="0.2">
      <c r="E37" s="1"/>
      <c r="F37" s="1"/>
      <c r="G37" s="1"/>
      <c r="H37" s="1"/>
      <c r="I37" s="1"/>
      <c r="J37" s="1"/>
      <c r="K37" s="1"/>
      <c r="L37" s="1"/>
      <c r="M37" s="1"/>
    </row>
    <row r="38" spans="1:16" x14ac:dyDescent="0.2">
      <c r="A38" s="114" t="s">
        <v>1748</v>
      </c>
      <c r="C38" s="115">
        <v>45366</v>
      </c>
      <c r="E38" s="1">
        <v>3175.25</v>
      </c>
      <c r="F38" s="1"/>
      <c r="G38" s="1">
        <v>845.74</v>
      </c>
      <c r="H38" s="1">
        <v>-7.77</v>
      </c>
      <c r="I38" s="1"/>
      <c r="J38" s="1">
        <v>2862.19</v>
      </c>
      <c r="K38" s="1"/>
      <c r="L38" s="1">
        <v>863.38</v>
      </c>
      <c r="M38" s="1">
        <v>-12.69</v>
      </c>
      <c r="P38" s="1">
        <f>SUM(J38:M38)</f>
        <v>3712.88</v>
      </c>
    </row>
    <row r="39" spans="1:16" x14ac:dyDescent="0.2">
      <c r="E39" s="1"/>
      <c r="F39" s="1"/>
      <c r="G39" s="1"/>
      <c r="H39" s="1"/>
      <c r="I39" s="1"/>
      <c r="J39" s="1"/>
      <c r="K39" s="1"/>
      <c r="L39" s="1"/>
      <c r="M39" s="1"/>
    </row>
    <row r="40" spans="1:16" x14ac:dyDescent="0.2">
      <c r="C40" t="s">
        <v>1742</v>
      </c>
      <c r="E40" s="1"/>
      <c r="F40" s="1"/>
      <c r="G40" s="1"/>
      <c r="H40" s="1"/>
      <c r="I40" s="112">
        <f>E38+J38</f>
        <v>6037.4400000000005</v>
      </c>
      <c r="J40" s="1"/>
      <c r="K40" s="1"/>
      <c r="L40" s="1"/>
      <c r="M40" s="1"/>
    </row>
    <row r="41" spans="1:16" x14ac:dyDescent="0.2">
      <c r="C41" t="s">
        <v>1745</v>
      </c>
      <c r="E41" s="1"/>
      <c r="F41" s="1"/>
      <c r="G41" s="1"/>
      <c r="H41" s="1"/>
      <c r="I41" s="112">
        <v>290</v>
      </c>
      <c r="J41" s="1"/>
      <c r="K41" s="1"/>
      <c r="L41" s="1"/>
      <c r="M41" s="1"/>
    </row>
    <row r="42" spans="1:16" x14ac:dyDescent="0.2">
      <c r="C42" t="s">
        <v>1743</v>
      </c>
      <c r="E42" s="1"/>
      <c r="F42" s="1"/>
      <c r="G42" s="1"/>
      <c r="H42" s="1"/>
      <c r="I42" s="112">
        <f>G38+H38+L38+M38</f>
        <v>1688.6599999999999</v>
      </c>
      <c r="J42" s="1"/>
      <c r="K42" s="1"/>
      <c r="L42" s="1"/>
      <c r="M42" s="1"/>
    </row>
    <row r="43" spans="1:16" x14ac:dyDescent="0.2">
      <c r="E43" s="1"/>
      <c r="F43" s="1"/>
      <c r="G43" s="1"/>
      <c r="H43" s="1"/>
      <c r="I43" s="1"/>
      <c r="J43" s="1"/>
      <c r="K43" s="1"/>
      <c r="L43" s="1"/>
      <c r="M43" s="1"/>
    </row>
    <row r="44" spans="1:16" x14ac:dyDescent="0.2">
      <c r="E44" s="1"/>
      <c r="F44" s="1"/>
      <c r="G44" s="1"/>
      <c r="H44" s="1"/>
      <c r="I44" s="1"/>
      <c r="J44" s="1"/>
      <c r="K44" s="1"/>
      <c r="L44" s="1"/>
      <c r="M44" s="1"/>
    </row>
    <row r="45" spans="1:16" x14ac:dyDescent="0.2">
      <c r="A45" s="114" t="s">
        <v>1748</v>
      </c>
      <c r="C45" s="115">
        <v>45366</v>
      </c>
      <c r="E45" s="1">
        <v>3175.25</v>
      </c>
      <c r="F45" s="1"/>
      <c r="G45" s="1">
        <v>845.74</v>
      </c>
      <c r="H45" s="1">
        <v>-7.77</v>
      </c>
      <c r="I45" s="1"/>
      <c r="J45" s="1">
        <v>2862.19</v>
      </c>
      <c r="K45" s="1"/>
      <c r="L45" s="1">
        <v>863.38</v>
      </c>
      <c r="M45" s="1">
        <v>-12.69</v>
      </c>
      <c r="P45" s="1">
        <f>SUM(J45:M45)</f>
        <v>3712.88</v>
      </c>
    </row>
    <row r="46" spans="1:16" x14ac:dyDescent="0.2">
      <c r="E46" s="1"/>
      <c r="F46" s="1"/>
      <c r="G46" s="1"/>
      <c r="H46" s="1"/>
      <c r="I46" s="1"/>
      <c r="J46" s="1"/>
      <c r="K46" s="1"/>
      <c r="L46" s="1"/>
      <c r="M46" s="1"/>
    </row>
    <row r="47" spans="1:16" x14ac:dyDescent="0.2">
      <c r="C47" t="s">
        <v>1742</v>
      </c>
      <c r="E47" s="1"/>
      <c r="F47" s="1"/>
      <c r="G47" s="1"/>
      <c r="H47" s="1"/>
      <c r="I47" s="112">
        <f>E45+J45</f>
        <v>6037.4400000000005</v>
      </c>
      <c r="J47" s="1"/>
      <c r="K47" s="1"/>
      <c r="L47" s="1"/>
      <c r="M47" s="1"/>
    </row>
    <row r="48" spans="1:16" x14ac:dyDescent="0.2">
      <c r="C48" t="s">
        <v>1745</v>
      </c>
      <c r="E48" s="1"/>
      <c r="F48" s="1"/>
      <c r="G48" s="1"/>
      <c r="H48" s="1"/>
      <c r="I48" s="112">
        <v>290</v>
      </c>
      <c r="J48" s="1"/>
      <c r="K48" s="1"/>
      <c r="L48" s="1"/>
      <c r="M48" s="1"/>
    </row>
    <row r="49" spans="1:16" x14ac:dyDescent="0.2">
      <c r="C49" t="s">
        <v>1743</v>
      </c>
      <c r="E49" s="1"/>
      <c r="F49" s="1"/>
      <c r="G49" s="1"/>
      <c r="H49" s="1"/>
      <c r="I49" s="112">
        <f>G45+H45+L45+M45</f>
        <v>1688.6599999999999</v>
      </c>
      <c r="J49" s="1"/>
      <c r="K49" s="1"/>
      <c r="L49" s="1"/>
      <c r="M49" s="1"/>
    </row>
    <row r="50" spans="1:16" x14ac:dyDescent="0.2">
      <c r="E50" s="1"/>
      <c r="F50" s="1"/>
      <c r="G50" s="1"/>
      <c r="H50" s="1"/>
      <c r="I50" s="1"/>
      <c r="J50" s="1"/>
      <c r="K50" s="1"/>
      <c r="L50" s="1"/>
      <c r="M50" s="1"/>
    </row>
    <row r="51" spans="1:16" x14ac:dyDescent="0.2">
      <c r="E51" s="1"/>
      <c r="F51" s="1"/>
      <c r="G51" s="1"/>
      <c r="H51" s="1"/>
      <c r="I51" s="1"/>
      <c r="J51" s="1"/>
      <c r="K51" s="1"/>
      <c r="L51" s="1"/>
      <c r="M51" s="1"/>
    </row>
    <row r="52" spans="1:16" x14ac:dyDescent="0.2">
      <c r="A52" s="114" t="s">
        <v>1748</v>
      </c>
      <c r="C52" s="115">
        <v>45366</v>
      </c>
      <c r="E52" s="1">
        <v>3175.25</v>
      </c>
      <c r="F52" s="1"/>
      <c r="G52" s="1">
        <v>845.74</v>
      </c>
      <c r="H52" s="1">
        <v>-7.77</v>
      </c>
      <c r="I52" s="1"/>
      <c r="J52" s="1">
        <v>2862.19</v>
      </c>
      <c r="K52" s="1"/>
      <c r="L52" s="1">
        <v>863.38</v>
      </c>
      <c r="M52" s="1">
        <v>-12.69</v>
      </c>
      <c r="P52" s="1">
        <f>SUM(J52:M52)</f>
        <v>3712.88</v>
      </c>
    </row>
    <row r="53" spans="1:16" x14ac:dyDescent="0.2">
      <c r="E53" s="1"/>
      <c r="F53" s="1"/>
      <c r="G53" s="1"/>
      <c r="H53" s="1"/>
      <c r="I53" s="1"/>
      <c r="J53" s="1"/>
      <c r="K53" s="1"/>
      <c r="L53" s="1"/>
      <c r="M53" s="1"/>
    </row>
    <row r="54" spans="1:16" x14ac:dyDescent="0.2">
      <c r="C54" t="s">
        <v>1742</v>
      </c>
      <c r="E54" s="1"/>
      <c r="F54" s="1"/>
      <c r="G54" s="1"/>
      <c r="H54" s="1"/>
      <c r="I54" s="112">
        <f>E52+J52</f>
        <v>6037.4400000000005</v>
      </c>
      <c r="J54" s="1"/>
      <c r="K54" s="1"/>
      <c r="L54" s="1"/>
      <c r="M54" s="1"/>
    </row>
    <row r="55" spans="1:16" x14ac:dyDescent="0.2">
      <c r="C55" t="s">
        <v>1745</v>
      </c>
      <c r="E55" s="1"/>
      <c r="F55" s="1"/>
      <c r="G55" s="1"/>
      <c r="H55" s="1"/>
      <c r="I55" s="112">
        <v>290</v>
      </c>
      <c r="J55" s="1"/>
      <c r="K55" s="1"/>
      <c r="L55" s="1"/>
      <c r="M55" s="1"/>
    </row>
    <row r="56" spans="1:16" x14ac:dyDescent="0.2">
      <c r="C56" t="s">
        <v>1743</v>
      </c>
      <c r="E56" s="1"/>
      <c r="F56" s="1"/>
      <c r="G56" s="1"/>
      <c r="H56" s="1"/>
      <c r="I56" s="112">
        <f>G52+H52+L52+M52</f>
        <v>1688.6599999999999</v>
      </c>
      <c r="J56" s="1"/>
      <c r="K56" s="1"/>
      <c r="L56" s="1"/>
      <c r="M56" s="1"/>
    </row>
    <row r="57" spans="1:16" x14ac:dyDescent="0.2">
      <c r="E57" s="1"/>
      <c r="F57" s="1"/>
      <c r="G57" s="1"/>
      <c r="H57" s="1"/>
      <c r="I57" s="1"/>
      <c r="J57" s="1"/>
      <c r="K57" s="1"/>
      <c r="L57" s="1"/>
      <c r="M57" s="1"/>
    </row>
    <row r="58" spans="1:16" x14ac:dyDescent="0.2">
      <c r="E58" s="1"/>
      <c r="F58" s="1"/>
      <c r="G58" s="1"/>
      <c r="H58" s="1"/>
      <c r="I58" s="1"/>
      <c r="J58" s="1"/>
      <c r="K58" s="1"/>
      <c r="L58" s="1"/>
      <c r="M58" s="1"/>
    </row>
    <row r="59" spans="1:16" x14ac:dyDescent="0.2">
      <c r="E59" s="1"/>
      <c r="F59" s="1"/>
      <c r="G59" s="1"/>
      <c r="H59" s="1"/>
      <c r="I59" s="1"/>
      <c r="J59" s="1"/>
      <c r="K59" s="1"/>
      <c r="L59" s="1"/>
      <c r="M59" s="1"/>
    </row>
    <row r="60" spans="1:16" x14ac:dyDescent="0.2">
      <c r="A60" s="114" t="s">
        <v>1748</v>
      </c>
      <c r="C60" s="115">
        <v>45366</v>
      </c>
      <c r="E60" s="1">
        <v>3175.25</v>
      </c>
      <c r="F60" s="1"/>
      <c r="G60" s="1">
        <v>845.74</v>
      </c>
      <c r="H60" s="1">
        <v>-7.77</v>
      </c>
      <c r="I60" s="1"/>
      <c r="J60" s="1">
        <v>2862.19</v>
      </c>
      <c r="K60" s="1"/>
      <c r="L60" s="1">
        <v>863.38</v>
      </c>
      <c r="M60" s="1">
        <v>-12.69</v>
      </c>
      <c r="P60" s="1">
        <f>SUM(J60:M60)</f>
        <v>3712.88</v>
      </c>
    </row>
    <row r="61" spans="1:16" x14ac:dyDescent="0.2">
      <c r="E61" s="1"/>
      <c r="F61" s="1"/>
      <c r="G61" s="1"/>
      <c r="H61" s="1"/>
      <c r="I61" s="1"/>
      <c r="J61" s="1"/>
      <c r="K61" s="1"/>
      <c r="L61" s="1"/>
      <c r="M61" s="1"/>
    </row>
    <row r="62" spans="1:16" x14ac:dyDescent="0.2">
      <c r="C62" t="s">
        <v>1742</v>
      </c>
      <c r="E62" s="1"/>
      <c r="F62" s="1"/>
      <c r="G62" s="1"/>
      <c r="H62" s="1"/>
      <c r="I62" s="112">
        <f>E60+J60</f>
        <v>6037.4400000000005</v>
      </c>
      <c r="J62" s="1"/>
      <c r="K62" s="1"/>
      <c r="L62" s="1"/>
      <c r="M62" s="1"/>
    </row>
    <row r="63" spans="1:16" x14ac:dyDescent="0.2">
      <c r="C63" t="s">
        <v>1745</v>
      </c>
      <c r="E63" s="1"/>
      <c r="F63" s="1"/>
      <c r="G63" s="1"/>
      <c r="H63" s="1"/>
      <c r="I63" s="112">
        <v>290</v>
      </c>
      <c r="J63" s="1"/>
      <c r="K63" s="1"/>
      <c r="L63" s="1"/>
      <c r="M63" s="1"/>
    </row>
    <row r="64" spans="1:16" x14ac:dyDescent="0.2">
      <c r="C64" t="s">
        <v>1743</v>
      </c>
      <c r="E64" s="1"/>
      <c r="F64" s="1"/>
      <c r="G64" s="1"/>
      <c r="H64" s="1"/>
      <c r="I64" s="112">
        <f>G60+H60+L60+M60</f>
        <v>1688.6599999999999</v>
      </c>
      <c r="J64" s="1"/>
      <c r="K64" s="1"/>
      <c r="L64" s="1"/>
      <c r="M64" s="1"/>
    </row>
    <row r="65" spans="1:16" x14ac:dyDescent="0.2">
      <c r="E65" s="1"/>
      <c r="F65" s="1"/>
      <c r="G65" s="1"/>
      <c r="H65" s="1"/>
      <c r="I65" s="1"/>
      <c r="J65" s="1"/>
      <c r="K65" s="1"/>
      <c r="L65" s="1"/>
      <c r="M65" s="1"/>
    </row>
    <row r="66" spans="1:16" x14ac:dyDescent="0.2">
      <c r="E66" s="1"/>
      <c r="F66" s="1"/>
      <c r="G66" s="1"/>
      <c r="H66" s="1"/>
      <c r="I66" s="1"/>
      <c r="J66" s="1"/>
      <c r="K66" s="1"/>
      <c r="L66" s="1"/>
      <c r="M66" s="1"/>
    </row>
    <row r="67" spans="1:16" x14ac:dyDescent="0.2">
      <c r="A67" s="114" t="s">
        <v>1748</v>
      </c>
      <c r="C67" s="115">
        <v>45366</v>
      </c>
      <c r="E67" s="1">
        <v>3175.25</v>
      </c>
      <c r="F67" s="1"/>
      <c r="G67" s="1">
        <v>845.74</v>
      </c>
      <c r="H67" s="1">
        <v>-7.77</v>
      </c>
      <c r="I67" s="1"/>
      <c r="J67" s="1">
        <v>2862.19</v>
      </c>
      <c r="K67" s="1"/>
      <c r="L67" s="1">
        <v>863.38</v>
      </c>
      <c r="M67" s="1">
        <v>-12.69</v>
      </c>
      <c r="P67" s="1">
        <f>SUM(J67:M67)</f>
        <v>3712.88</v>
      </c>
    </row>
    <row r="68" spans="1:16" x14ac:dyDescent="0.2">
      <c r="E68" s="1"/>
      <c r="F68" s="1"/>
      <c r="G68" s="1"/>
      <c r="H68" s="1"/>
      <c r="I68" s="1"/>
      <c r="J68" s="1"/>
      <c r="K68" s="1"/>
      <c r="L68" s="1"/>
      <c r="M68" s="1"/>
    </row>
    <row r="69" spans="1:16" x14ac:dyDescent="0.2">
      <c r="C69" t="s">
        <v>1742</v>
      </c>
      <c r="E69" s="1"/>
      <c r="F69" s="1"/>
      <c r="G69" s="1"/>
      <c r="H69" s="1"/>
      <c r="I69" s="112">
        <f>E67+J67</f>
        <v>6037.4400000000005</v>
      </c>
      <c r="J69" s="1"/>
      <c r="K69" s="1"/>
      <c r="L69" s="1"/>
      <c r="M69" s="1"/>
    </row>
    <row r="70" spans="1:16" x14ac:dyDescent="0.2">
      <c r="C70" t="s">
        <v>1745</v>
      </c>
      <c r="E70" s="1"/>
      <c r="F70" s="1"/>
      <c r="G70" s="1"/>
      <c r="H70" s="1"/>
      <c r="I70" s="112">
        <v>290</v>
      </c>
      <c r="J70" s="1"/>
      <c r="K70" s="1"/>
      <c r="L70" s="1"/>
      <c r="M70" s="1"/>
    </row>
    <row r="71" spans="1:16" x14ac:dyDescent="0.2">
      <c r="C71" t="s">
        <v>1743</v>
      </c>
      <c r="E71" s="1"/>
      <c r="F71" s="1"/>
      <c r="G71" s="1"/>
      <c r="H71" s="1"/>
      <c r="I71" s="112">
        <f>G67+H67+L67+M67</f>
        <v>1688.6599999999999</v>
      </c>
      <c r="J71" s="1"/>
      <c r="K71" s="1"/>
      <c r="L71" s="1"/>
      <c r="M71" s="1"/>
    </row>
    <row r="72" spans="1:16" x14ac:dyDescent="0.2">
      <c r="E72" s="1"/>
      <c r="F72" s="1"/>
      <c r="G72" s="1"/>
      <c r="H72" s="1"/>
      <c r="I72" s="1"/>
      <c r="J72" s="1"/>
      <c r="K72" s="1"/>
      <c r="L72" s="1"/>
      <c r="M72" s="1"/>
    </row>
    <row r="73" spans="1:16" x14ac:dyDescent="0.2">
      <c r="E73" s="1"/>
      <c r="F73" s="1"/>
      <c r="G73" s="1"/>
      <c r="H73" s="1"/>
      <c r="I73" s="1"/>
      <c r="J73" s="1"/>
      <c r="K73" s="1"/>
      <c r="L73" s="1"/>
      <c r="M73" s="1"/>
    </row>
    <row r="74" spans="1:16" x14ac:dyDescent="0.2">
      <c r="E74" s="1"/>
      <c r="F74" s="1"/>
      <c r="G74" s="1"/>
      <c r="H74" s="1"/>
      <c r="I74" s="1"/>
      <c r="J74" s="1"/>
      <c r="K74" s="1"/>
      <c r="L74" s="1"/>
      <c r="M74" s="1"/>
    </row>
    <row r="75" spans="1:16" x14ac:dyDescent="0.2">
      <c r="A75" s="114" t="s">
        <v>1749</v>
      </c>
      <c r="C75" s="115">
        <v>45380</v>
      </c>
      <c r="E75" s="1">
        <v>3240.81</v>
      </c>
      <c r="F75" s="1"/>
      <c r="G75" s="1">
        <v>859.13</v>
      </c>
      <c r="H75" s="1">
        <v>-7.77</v>
      </c>
      <c r="I75" s="1"/>
      <c r="J75" s="1">
        <v>2870.56</v>
      </c>
      <c r="K75" s="1"/>
      <c r="L75" s="1">
        <v>854.17</v>
      </c>
      <c r="M75" s="1">
        <v>-13.27</v>
      </c>
      <c r="P75" s="1">
        <f>SUM(J75:M75)</f>
        <v>3711.46</v>
      </c>
    </row>
    <row r="76" spans="1:16" x14ac:dyDescent="0.2">
      <c r="E76" s="1"/>
      <c r="F76" s="1"/>
      <c r="G76" s="1"/>
      <c r="H76" s="1"/>
      <c r="I76" s="1"/>
      <c r="J76" s="1"/>
      <c r="K76" s="1"/>
      <c r="L76" s="1"/>
      <c r="M76" s="1"/>
    </row>
    <row r="77" spans="1:16" x14ac:dyDescent="0.2">
      <c r="C77" t="s">
        <v>1742</v>
      </c>
      <c r="E77" s="1"/>
      <c r="F77" s="1"/>
      <c r="G77" s="1"/>
      <c r="H77" s="1"/>
      <c r="I77" s="112">
        <f>E75+J75</f>
        <v>6111.37</v>
      </c>
      <c r="J77" s="1"/>
      <c r="K77" s="1"/>
      <c r="L77" s="1"/>
      <c r="M77" s="1"/>
    </row>
    <row r="78" spans="1:16" x14ac:dyDescent="0.2">
      <c r="C78" t="s">
        <v>1745</v>
      </c>
      <c r="E78" s="1"/>
      <c r="F78" s="1"/>
      <c r="G78" s="1"/>
      <c r="H78" s="1"/>
      <c r="I78" s="112">
        <v>290</v>
      </c>
      <c r="J78" s="1"/>
      <c r="K78" s="1"/>
      <c r="L78" s="1"/>
      <c r="M78" s="1"/>
    </row>
    <row r="79" spans="1:16" x14ac:dyDescent="0.2">
      <c r="C79" t="s">
        <v>1743</v>
      </c>
      <c r="E79" s="1"/>
      <c r="F79" s="1"/>
      <c r="G79" s="1"/>
      <c r="H79" s="1"/>
      <c r="I79" s="112">
        <f>G75+H75+L75+M75</f>
        <v>1692.26</v>
      </c>
      <c r="J79" s="1"/>
      <c r="K79" s="1"/>
      <c r="L79" s="1"/>
      <c r="M79" s="1"/>
    </row>
    <row r="80" spans="1:16" x14ac:dyDescent="0.2">
      <c r="E80" s="1"/>
      <c r="F80" s="1"/>
      <c r="G80" s="1"/>
      <c r="H80" s="1"/>
      <c r="I80" s="1"/>
      <c r="J80" s="1"/>
      <c r="K80" s="1"/>
      <c r="L80" s="1"/>
      <c r="M80" s="1"/>
    </row>
    <row r="81" spans="1:16" x14ac:dyDescent="0.2">
      <c r="E81" s="1"/>
      <c r="F81" s="1"/>
      <c r="G81" s="1"/>
      <c r="H81" s="1"/>
      <c r="I81" s="1"/>
      <c r="J81" s="1"/>
      <c r="K81" s="1"/>
      <c r="L81" s="1"/>
      <c r="M81" s="1"/>
    </row>
    <row r="82" spans="1:16" x14ac:dyDescent="0.2">
      <c r="E82" s="1"/>
      <c r="F82" s="1"/>
      <c r="G82" s="1"/>
      <c r="H82" s="1"/>
      <c r="I82" s="1"/>
      <c r="J82" s="1"/>
      <c r="K82" s="1"/>
      <c r="L82" s="1"/>
      <c r="M82" s="1"/>
    </row>
    <row r="83" spans="1:16" x14ac:dyDescent="0.2">
      <c r="A83" s="114" t="s">
        <v>1750</v>
      </c>
      <c r="C83" s="115">
        <v>45394</v>
      </c>
      <c r="E83" s="1">
        <v>3168.22</v>
      </c>
      <c r="F83" s="1"/>
      <c r="G83" s="1">
        <v>884.93</v>
      </c>
      <c r="H83" s="1">
        <v>-7.93</v>
      </c>
      <c r="I83" s="1"/>
      <c r="J83" s="1">
        <v>3737.41</v>
      </c>
      <c r="K83" s="1"/>
      <c r="L83" s="1">
        <v>1107.73</v>
      </c>
      <c r="M83" s="1">
        <v>-17.48</v>
      </c>
      <c r="P83" s="1">
        <f>SUM(J83:M83)</f>
        <v>4827.66</v>
      </c>
    </row>
    <row r="84" spans="1:16" x14ac:dyDescent="0.2">
      <c r="E84" s="1"/>
      <c r="F84" s="1"/>
      <c r="G84" s="1"/>
      <c r="H84" s="1"/>
      <c r="I84" s="1"/>
      <c r="J84" s="1"/>
      <c r="K84" s="1"/>
      <c r="L84" s="1"/>
      <c r="M84" s="1"/>
    </row>
    <row r="85" spans="1:16" x14ac:dyDescent="0.2">
      <c r="C85" t="s">
        <v>1742</v>
      </c>
      <c r="E85" s="1"/>
      <c r="F85" s="1"/>
      <c r="G85" s="1"/>
      <c r="H85" s="1"/>
      <c r="I85" s="112">
        <f>E83+J83</f>
        <v>6905.6299999999992</v>
      </c>
      <c r="J85" s="1"/>
      <c r="K85" s="1"/>
      <c r="L85" s="1"/>
      <c r="M85" s="1"/>
    </row>
    <row r="86" spans="1:16" x14ac:dyDescent="0.2">
      <c r="C86" t="s">
        <v>1745</v>
      </c>
      <c r="E86" s="1"/>
      <c r="F86" s="1"/>
      <c r="G86" s="1"/>
      <c r="H86" s="1"/>
      <c r="I86" s="112">
        <v>290</v>
      </c>
      <c r="J86" s="1"/>
      <c r="K86" s="1"/>
      <c r="L86" s="1"/>
      <c r="M86" s="1"/>
    </row>
    <row r="87" spans="1:16" x14ac:dyDescent="0.2">
      <c r="C87" t="s">
        <v>1743</v>
      </c>
      <c r="E87" s="1"/>
      <c r="F87" s="1"/>
      <c r="G87" s="1"/>
      <c r="H87" s="1"/>
      <c r="I87" s="112">
        <f>G83+H83+L83+M83</f>
        <v>1967.25</v>
      </c>
      <c r="J87" s="1"/>
      <c r="K87" s="1"/>
      <c r="L87" s="1"/>
      <c r="M87" s="1"/>
    </row>
    <row r="88" spans="1:16" x14ac:dyDescent="0.2">
      <c r="E88" s="1"/>
      <c r="F88" s="1"/>
      <c r="G88" s="1"/>
      <c r="H88" s="1"/>
      <c r="I88" s="1"/>
      <c r="J88" s="1"/>
      <c r="K88" s="1"/>
      <c r="L88" s="1"/>
      <c r="M88" s="1"/>
    </row>
    <row r="89" spans="1:16" x14ac:dyDescent="0.2">
      <c r="E89" s="1"/>
      <c r="F89" s="1"/>
      <c r="G89" s="1"/>
      <c r="H89" s="1"/>
      <c r="I89" s="1"/>
      <c r="J89" s="1"/>
      <c r="K89" s="1"/>
      <c r="L89" s="1"/>
      <c r="M89" s="1"/>
    </row>
    <row r="90" spans="1:16" x14ac:dyDescent="0.2">
      <c r="E90" s="1"/>
      <c r="F90" s="1"/>
      <c r="G90" s="1"/>
      <c r="H90" s="1"/>
      <c r="I90" s="1"/>
      <c r="J90" s="1"/>
      <c r="K90" s="1"/>
      <c r="L90" s="1"/>
      <c r="M90" s="1"/>
    </row>
    <row r="91" spans="1:16" x14ac:dyDescent="0.2">
      <c r="E91" s="1"/>
      <c r="F91" s="1"/>
      <c r="G91" s="1"/>
      <c r="H91" s="1"/>
      <c r="I91" s="1"/>
      <c r="J91" s="1"/>
      <c r="K91" s="1"/>
      <c r="L91" s="1"/>
      <c r="M91" s="1"/>
    </row>
    <row r="92" spans="1:16" x14ac:dyDescent="0.2">
      <c r="A92" s="114" t="s">
        <v>1751</v>
      </c>
      <c r="C92" s="115">
        <v>45408</v>
      </c>
      <c r="E92" s="1">
        <v>3094.25</v>
      </c>
      <c r="F92" s="1"/>
      <c r="G92" s="1">
        <v>825.05</v>
      </c>
      <c r="H92" s="1">
        <v>-7.82</v>
      </c>
      <c r="I92" s="1"/>
      <c r="J92" s="1">
        <v>4628.17</v>
      </c>
      <c r="K92" s="1"/>
      <c r="L92" s="1">
        <v>1450.3</v>
      </c>
      <c r="M92" s="1">
        <v>-21.39</v>
      </c>
      <c r="P92" s="1">
        <f>SUM(J92:M92)</f>
        <v>6057.08</v>
      </c>
    </row>
    <row r="93" spans="1:16" x14ac:dyDescent="0.2">
      <c r="E93" s="1"/>
      <c r="F93" s="1"/>
      <c r="G93" s="1"/>
      <c r="H93" s="1"/>
      <c r="I93" s="1"/>
      <c r="J93" s="1"/>
      <c r="K93" s="1"/>
      <c r="L93" s="1"/>
      <c r="M93" s="1"/>
    </row>
    <row r="94" spans="1:16" x14ac:dyDescent="0.2">
      <c r="C94" t="s">
        <v>1742</v>
      </c>
      <c r="E94" s="1"/>
      <c r="F94" s="1"/>
      <c r="G94" s="1"/>
      <c r="H94" s="1"/>
      <c r="I94" s="112">
        <f>E92+J92</f>
        <v>7722.42</v>
      </c>
      <c r="J94" s="1"/>
      <c r="K94" s="1"/>
      <c r="L94" s="1"/>
      <c r="M94" s="1"/>
    </row>
    <row r="95" spans="1:16" x14ac:dyDescent="0.2">
      <c r="C95" t="s">
        <v>1745</v>
      </c>
      <c r="E95" s="1"/>
      <c r="F95" s="1"/>
      <c r="G95" s="1"/>
      <c r="H95" s="1"/>
      <c r="I95" s="112">
        <v>290</v>
      </c>
      <c r="J95" s="1"/>
      <c r="K95" s="1"/>
      <c r="L95" s="1"/>
      <c r="M95" s="1"/>
    </row>
    <row r="96" spans="1:16" x14ac:dyDescent="0.2">
      <c r="C96" t="s">
        <v>1743</v>
      </c>
      <c r="E96" s="1"/>
      <c r="F96" s="1"/>
      <c r="G96" s="1"/>
      <c r="H96" s="1"/>
      <c r="I96" s="112">
        <f>G92+H92+L92+M92</f>
        <v>2246.14</v>
      </c>
      <c r="J96" s="1"/>
      <c r="K96" s="1"/>
      <c r="L96" s="1"/>
      <c r="M96" s="1"/>
    </row>
    <row r="97" spans="1:16" x14ac:dyDescent="0.2">
      <c r="E97" s="1"/>
      <c r="F97" s="1"/>
      <c r="G97" s="1"/>
      <c r="H97" s="1"/>
      <c r="I97" s="1"/>
      <c r="J97" s="1"/>
      <c r="K97" s="1"/>
      <c r="L97" s="1"/>
      <c r="M97" s="1"/>
    </row>
    <row r="98" spans="1:16" x14ac:dyDescent="0.2">
      <c r="E98" s="1"/>
      <c r="F98" s="1"/>
      <c r="G98" s="1"/>
      <c r="H98" s="1"/>
      <c r="I98" s="1"/>
      <c r="J98" s="1"/>
      <c r="K98" s="1"/>
      <c r="L98" s="1"/>
      <c r="M98" s="1"/>
    </row>
    <row r="99" spans="1:16" x14ac:dyDescent="0.2">
      <c r="A99" s="114" t="s">
        <v>1752</v>
      </c>
      <c r="C99" s="115">
        <v>45422</v>
      </c>
      <c r="E99" s="1">
        <v>3157.45</v>
      </c>
      <c r="F99" s="1"/>
      <c r="G99" s="1">
        <v>811.41</v>
      </c>
      <c r="H99" s="1">
        <v>-7.87</v>
      </c>
      <c r="I99" s="1"/>
      <c r="J99" s="1">
        <v>4709.1000000000004</v>
      </c>
      <c r="K99" s="1"/>
      <c r="L99" s="1">
        <v>1488.78</v>
      </c>
      <c r="M99" s="1">
        <v>-21.39</v>
      </c>
      <c r="P99" s="1">
        <f>SUM(J99:M99)</f>
        <v>6176.49</v>
      </c>
    </row>
    <row r="100" spans="1:16" x14ac:dyDescent="0.2">
      <c r="E100" s="1"/>
      <c r="F100" s="1"/>
      <c r="G100" s="1"/>
      <c r="H100" s="1"/>
      <c r="I100" s="1"/>
      <c r="J100" s="1"/>
      <c r="K100" s="1"/>
      <c r="L100" s="1"/>
      <c r="M100" s="1"/>
    </row>
    <row r="101" spans="1:16" x14ac:dyDescent="0.2">
      <c r="C101" t="s">
        <v>1742</v>
      </c>
      <c r="E101" s="1"/>
      <c r="F101" s="1"/>
      <c r="G101" s="1"/>
      <c r="H101" s="1"/>
      <c r="I101" s="112">
        <f>E99+J99</f>
        <v>7866.55</v>
      </c>
      <c r="J101" s="1"/>
      <c r="K101" s="1"/>
      <c r="L101" s="1"/>
      <c r="M101" s="1"/>
    </row>
    <row r="102" spans="1:16" x14ac:dyDescent="0.2">
      <c r="C102" t="s">
        <v>1745</v>
      </c>
      <c r="E102" s="1"/>
      <c r="F102" s="1"/>
      <c r="G102" s="1"/>
      <c r="H102" s="1"/>
      <c r="I102" s="112">
        <v>290</v>
      </c>
      <c r="J102" s="1"/>
      <c r="K102" s="1"/>
      <c r="L102" s="1"/>
      <c r="M102" s="1"/>
    </row>
    <row r="103" spans="1:16" x14ac:dyDescent="0.2">
      <c r="C103" t="s">
        <v>1743</v>
      </c>
      <c r="E103" s="1"/>
      <c r="F103" s="1"/>
      <c r="G103" s="1"/>
      <c r="H103" s="1"/>
      <c r="I103" s="112">
        <f>G99+H99+L99+M99</f>
        <v>2270.9299999999998</v>
      </c>
      <c r="J103" s="1"/>
      <c r="K103" s="1"/>
      <c r="L103" s="1"/>
      <c r="M103" s="1"/>
    </row>
    <row r="104" spans="1:16" x14ac:dyDescent="0.2">
      <c r="E104" s="1"/>
      <c r="F104" s="1"/>
      <c r="G104" s="1"/>
      <c r="H104" s="1"/>
      <c r="I104" s="1"/>
      <c r="J104" s="1"/>
      <c r="K104" s="1"/>
      <c r="L104" s="1"/>
      <c r="M104" s="1"/>
    </row>
    <row r="105" spans="1:16" x14ac:dyDescent="0.2">
      <c r="E105" s="1"/>
      <c r="F105" s="1"/>
      <c r="G105" s="1"/>
      <c r="H105" s="1"/>
      <c r="I105" s="1"/>
      <c r="J105" s="1"/>
      <c r="K105" s="1"/>
      <c r="L105" s="1"/>
      <c r="M105" s="1"/>
    </row>
    <row r="106" spans="1:16" x14ac:dyDescent="0.2">
      <c r="E106" s="1"/>
      <c r="F106" s="1"/>
      <c r="G106" s="1"/>
      <c r="H106" s="1"/>
      <c r="I106" s="1"/>
      <c r="J106" s="1"/>
      <c r="K106" s="1"/>
      <c r="L106" s="1"/>
      <c r="M106" s="1"/>
    </row>
    <row r="107" spans="1:16" x14ac:dyDescent="0.2">
      <c r="A107" s="114" t="s">
        <v>1753</v>
      </c>
      <c r="C107" s="115">
        <v>45436</v>
      </c>
      <c r="E107" s="1">
        <v>3131.25</v>
      </c>
      <c r="F107" s="1"/>
      <c r="G107" s="1">
        <v>805.74</v>
      </c>
      <c r="H107" s="1">
        <v>-7.87</v>
      </c>
      <c r="I107" s="1"/>
      <c r="J107" s="1">
        <v>4898.37</v>
      </c>
      <c r="K107" s="1"/>
      <c r="L107" s="1">
        <v>1538.6</v>
      </c>
      <c r="M107" s="1">
        <v>-24</v>
      </c>
      <c r="P107" s="1">
        <f>SUM(J107:M107)</f>
        <v>6412.9699999999993</v>
      </c>
    </row>
    <row r="108" spans="1:16" x14ac:dyDescent="0.2">
      <c r="E108" s="1"/>
      <c r="F108" s="1"/>
      <c r="G108" s="1"/>
      <c r="H108" s="1"/>
      <c r="I108" s="1"/>
      <c r="J108" s="1"/>
      <c r="K108" s="1"/>
      <c r="L108" s="1"/>
      <c r="M108" s="1"/>
    </row>
    <row r="109" spans="1:16" x14ac:dyDescent="0.2">
      <c r="C109" t="s">
        <v>1742</v>
      </c>
      <c r="E109" s="1"/>
      <c r="F109" s="1"/>
      <c r="G109" s="1"/>
      <c r="H109" s="1"/>
      <c r="I109" s="112">
        <f>E107+J107</f>
        <v>8029.62</v>
      </c>
      <c r="J109" s="1"/>
      <c r="K109" s="1"/>
      <c r="L109" s="1"/>
      <c r="M109" s="1"/>
    </row>
    <row r="110" spans="1:16" x14ac:dyDescent="0.2">
      <c r="C110" t="s">
        <v>1745</v>
      </c>
      <c r="E110" s="1"/>
      <c r="F110" s="1"/>
      <c r="G110" s="1"/>
      <c r="H110" s="1"/>
      <c r="I110" s="112">
        <v>290</v>
      </c>
      <c r="J110" s="1"/>
      <c r="K110" s="1"/>
      <c r="L110" s="1"/>
      <c r="M110" s="1"/>
    </row>
    <row r="111" spans="1:16" x14ac:dyDescent="0.2">
      <c r="C111" t="s">
        <v>1743</v>
      </c>
      <c r="E111" s="1"/>
      <c r="F111" s="1"/>
      <c r="G111" s="1"/>
      <c r="H111" s="1"/>
      <c r="I111" s="112">
        <f>G107+H107+L107+M107</f>
        <v>2312.4699999999998</v>
      </c>
      <c r="J111" s="1"/>
      <c r="K111" s="1"/>
      <c r="L111" s="1"/>
      <c r="M111" s="1"/>
    </row>
    <row r="112" spans="1:16" x14ac:dyDescent="0.2">
      <c r="E112" s="1"/>
      <c r="F112" s="1"/>
      <c r="G112" s="1"/>
      <c r="H112" s="1"/>
      <c r="I112" s="1"/>
      <c r="J112" s="1"/>
      <c r="K112" s="1"/>
      <c r="L112" s="1"/>
      <c r="M112" s="1"/>
    </row>
    <row r="113" spans="1:16" x14ac:dyDescent="0.2">
      <c r="E113" s="1"/>
      <c r="F113" s="1"/>
      <c r="G113" s="1"/>
      <c r="H113" s="1"/>
      <c r="I113" s="1"/>
      <c r="J113" s="1"/>
      <c r="K113" s="1"/>
      <c r="L113" s="1"/>
      <c r="M113" s="1"/>
    </row>
    <row r="114" spans="1:16" x14ac:dyDescent="0.2">
      <c r="E114" s="1"/>
      <c r="F114" s="1"/>
      <c r="G114" s="1"/>
      <c r="H114" s="1"/>
      <c r="I114" s="1"/>
      <c r="J114" s="1"/>
      <c r="K114" s="1"/>
      <c r="L114" s="1"/>
      <c r="M114" s="1"/>
    </row>
    <row r="115" spans="1:16" x14ac:dyDescent="0.2">
      <c r="A115" s="114" t="s">
        <v>1754</v>
      </c>
      <c r="C115" s="115">
        <v>45084</v>
      </c>
      <c r="E115" s="1">
        <v>3144.33</v>
      </c>
      <c r="F115" s="1"/>
      <c r="G115" s="1">
        <v>808.6</v>
      </c>
      <c r="H115" s="1">
        <v>-7.87</v>
      </c>
      <c r="I115" s="1"/>
      <c r="J115" s="1">
        <v>5217.91</v>
      </c>
      <c r="K115" s="1"/>
      <c r="L115" s="1">
        <v>1616.37</v>
      </c>
      <c r="M115" s="1">
        <v>-24.6</v>
      </c>
      <c r="P115" s="1">
        <f>SUM(J115:M115)</f>
        <v>6809.6799999999994</v>
      </c>
    </row>
    <row r="116" spans="1:16" x14ac:dyDescent="0.2">
      <c r="E116" s="1"/>
      <c r="F116" s="1"/>
      <c r="G116" s="1"/>
      <c r="H116" s="1"/>
      <c r="I116" s="1"/>
      <c r="J116" s="1"/>
      <c r="K116" s="1"/>
      <c r="L116" s="1"/>
      <c r="M116" s="1"/>
    </row>
    <row r="117" spans="1:16" x14ac:dyDescent="0.2">
      <c r="C117" t="s">
        <v>1742</v>
      </c>
      <c r="E117" s="1"/>
      <c r="F117" s="1"/>
      <c r="G117" s="1"/>
      <c r="H117" s="1"/>
      <c r="I117" s="112">
        <f>E115+J115</f>
        <v>8362.24</v>
      </c>
      <c r="J117" s="1"/>
      <c r="K117" s="1"/>
      <c r="L117" s="1"/>
      <c r="M117" s="1"/>
    </row>
    <row r="118" spans="1:16" x14ac:dyDescent="0.2">
      <c r="C118" t="s">
        <v>1745</v>
      </c>
      <c r="E118" s="1"/>
      <c r="F118" s="1"/>
      <c r="G118" s="1"/>
      <c r="H118" s="1"/>
      <c r="I118" s="112">
        <v>290</v>
      </c>
      <c r="J118" s="1"/>
      <c r="K118" s="1"/>
      <c r="L118" s="1"/>
      <c r="M118" s="1"/>
    </row>
    <row r="119" spans="1:16" x14ac:dyDescent="0.2">
      <c r="C119" t="s">
        <v>1743</v>
      </c>
      <c r="E119" s="1"/>
      <c r="F119" s="1"/>
      <c r="G119" s="1"/>
      <c r="H119" s="1"/>
      <c r="I119" s="112">
        <f>G115+H115+L115+M115</f>
        <v>2392.5</v>
      </c>
      <c r="J119" s="1"/>
      <c r="K119" s="1"/>
      <c r="L119" s="1"/>
      <c r="M119" s="1"/>
    </row>
    <row r="120" spans="1:16" x14ac:dyDescent="0.2">
      <c r="E120" s="1"/>
      <c r="F120" s="1"/>
      <c r="G120" s="1"/>
      <c r="H120" s="1"/>
      <c r="I120" s="1"/>
      <c r="J120" s="1"/>
      <c r="K120" s="1"/>
      <c r="L120" s="1"/>
      <c r="M120" s="1"/>
    </row>
    <row r="121" spans="1:16" x14ac:dyDescent="0.2">
      <c r="E121" s="1"/>
      <c r="F121" s="1"/>
      <c r="G121" s="1"/>
      <c r="H121" s="1"/>
      <c r="I121" s="1"/>
      <c r="J121" s="1"/>
      <c r="K121" s="1"/>
      <c r="L121" s="1"/>
      <c r="M121" s="1"/>
    </row>
    <row r="122" spans="1:16" x14ac:dyDescent="0.2">
      <c r="E122" s="1"/>
      <c r="F122" s="1"/>
      <c r="G122" s="1"/>
      <c r="H122" s="1"/>
      <c r="I122" s="1"/>
      <c r="J122" s="1"/>
      <c r="K122" s="1"/>
      <c r="L122" s="1"/>
      <c r="M122" s="1"/>
    </row>
    <row r="123" spans="1:16" x14ac:dyDescent="0.2">
      <c r="A123" s="114" t="s">
        <v>1755</v>
      </c>
      <c r="C123" s="115">
        <v>45464</v>
      </c>
      <c r="E123" s="1">
        <v>3150.9</v>
      </c>
      <c r="F123" s="1"/>
      <c r="G123" s="1">
        <v>809.99</v>
      </c>
      <c r="H123" s="1">
        <v>-7.87</v>
      </c>
      <c r="I123" s="1"/>
      <c r="J123" s="1">
        <v>5199.28</v>
      </c>
      <c r="K123" s="1"/>
      <c r="L123" s="1">
        <v>1501.57</v>
      </c>
      <c r="M123" s="1">
        <v>-24.87</v>
      </c>
      <c r="P123" s="1">
        <f>SUM(J123:M123)</f>
        <v>6675.98</v>
      </c>
    </row>
    <row r="124" spans="1:16" x14ac:dyDescent="0.2">
      <c r="E124" s="1"/>
      <c r="F124" s="1"/>
      <c r="G124" s="1"/>
      <c r="H124" s="1"/>
      <c r="I124" s="1"/>
      <c r="J124" s="1"/>
      <c r="K124" s="1"/>
      <c r="L124" s="1"/>
      <c r="M124" s="1"/>
    </row>
    <row r="125" spans="1:16" x14ac:dyDescent="0.2">
      <c r="C125" t="s">
        <v>1742</v>
      </c>
      <c r="E125" s="1"/>
      <c r="F125" s="1"/>
      <c r="G125" s="1"/>
      <c r="H125" s="1"/>
      <c r="I125" s="112">
        <f>E123+J123</f>
        <v>8350.18</v>
      </c>
      <c r="J125" s="1"/>
      <c r="K125" s="1"/>
      <c r="L125" s="1"/>
      <c r="M125" s="1"/>
    </row>
    <row r="126" spans="1:16" x14ac:dyDescent="0.2">
      <c r="C126" t="s">
        <v>1745</v>
      </c>
      <c r="E126" s="1"/>
      <c r="F126" s="1"/>
      <c r="G126" s="1"/>
      <c r="H126" s="1"/>
      <c r="I126" s="112">
        <v>290</v>
      </c>
      <c r="J126" s="1"/>
      <c r="K126" s="1"/>
      <c r="L126" s="1"/>
      <c r="M126" s="1"/>
    </row>
    <row r="127" spans="1:16" x14ac:dyDescent="0.2">
      <c r="C127" t="s">
        <v>1743</v>
      </c>
      <c r="E127" s="1"/>
      <c r="F127" s="1"/>
      <c r="G127" s="1"/>
      <c r="H127" s="1"/>
      <c r="I127" s="112">
        <f>G123+H123+L123+M123</f>
        <v>2278.8200000000002</v>
      </c>
      <c r="J127" s="1"/>
      <c r="K127" s="1"/>
      <c r="L127" s="1"/>
      <c r="M127" s="1"/>
    </row>
    <row r="128" spans="1:16" x14ac:dyDescent="0.2">
      <c r="E128" s="1"/>
      <c r="F128" s="1"/>
      <c r="G128" s="1"/>
      <c r="H128" s="1"/>
      <c r="I128" s="1"/>
      <c r="J128" s="1"/>
      <c r="K128" s="1"/>
      <c r="L128" s="1"/>
      <c r="M128" s="1"/>
    </row>
    <row r="129" spans="1:16" x14ac:dyDescent="0.2">
      <c r="E129" s="1"/>
      <c r="F129" s="1"/>
      <c r="G129" s="1"/>
      <c r="H129" s="1"/>
      <c r="I129" s="1"/>
      <c r="J129" s="1"/>
      <c r="K129" s="1"/>
      <c r="L129" s="1"/>
      <c r="M129" s="1"/>
    </row>
    <row r="130" spans="1:16" x14ac:dyDescent="0.2">
      <c r="E130" s="1"/>
      <c r="F130" s="1"/>
      <c r="G130" s="1"/>
      <c r="H130" s="1"/>
      <c r="I130" s="1"/>
      <c r="J130" s="1"/>
      <c r="K130" s="1"/>
      <c r="L130" s="1"/>
      <c r="M130" s="1"/>
    </row>
    <row r="131" spans="1:16" x14ac:dyDescent="0.2">
      <c r="A131" s="114" t="s">
        <v>1756</v>
      </c>
      <c r="C131" s="115">
        <v>45478</v>
      </c>
      <c r="E131" s="1">
        <v>3223.01</v>
      </c>
      <c r="F131" s="1"/>
      <c r="G131" s="1">
        <v>825.52</v>
      </c>
      <c r="H131" s="1">
        <v>-7.87</v>
      </c>
      <c r="I131" s="1"/>
      <c r="J131" s="1">
        <v>10195.790000000001</v>
      </c>
      <c r="K131" s="1">
        <v>-910.32</v>
      </c>
      <c r="L131" s="1">
        <v>2990.12</v>
      </c>
      <c r="M131" s="1">
        <v>-54.12</v>
      </c>
      <c r="P131" s="1">
        <f>SUM(J131:M131)</f>
        <v>12221.47</v>
      </c>
    </row>
    <row r="132" spans="1:16" x14ac:dyDescent="0.2">
      <c r="E132" s="1"/>
      <c r="F132" s="1"/>
      <c r="G132" s="1"/>
      <c r="H132" s="1"/>
      <c r="I132" s="1"/>
      <c r="J132" s="1"/>
      <c r="K132" s="1"/>
      <c r="L132" s="1"/>
      <c r="M132" s="1"/>
    </row>
    <row r="133" spans="1:16" x14ac:dyDescent="0.2">
      <c r="C133" t="s">
        <v>1742</v>
      </c>
      <c r="E133" s="1"/>
      <c r="F133" s="1"/>
      <c r="G133" s="1"/>
      <c r="H133" s="1"/>
      <c r="I133" s="112">
        <f>E131+J131+K131</f>
        <v>12508.480000000001</v>
      </c>
      <c r="J133" s="1"/>
      <c r="K133" s="1"/>
      <c r="L133" s="1"/>
      <c r="M133" s="1"/>
    </row>
    <row r="134" spans="1:16" x14ac:dyDescent="0.2">
      <c r="C134" t="s">
        <v>1745</v>
      </c>
      <c r="E134" s="1"/>
      <c r="F134" s="1"/>
      <c r="G134" s="1"/>
      <c r="H134" s="1"/>
      <c r="I134" s="112">
        <v>290</v>
      </c>
      <c r="J134" s="1"/>
      <c r="K134" s="1"/>
      <c r="L134" s="1"/>
      <c r="M134" s="1"/>
    </row>
    <row r="135" spans="1:16" x14ac:dyDescent="0.2">
      <c r="C135" t="s">
        <v>1743</v>
      </c>
      <c r="E135" s="1"/>
      <c r="F135" s="1"/>
      <c r="G135" s="1"/>
      <c r="H135" s="1"/>
      <c r="I135" s="112">
        <f>G131+H131+L131+M131</f>
        <v>3753.65</v>
      </c>
      <c r="J135" s="1"/>
      <c r="K135" s="1"/>
      <c r="L135" s="1"/>
      <c r="M135" s="1"/>
    </row>
    <row r="136" spans="1:16" x14ac:dyDescent="0.2">
      <c r="E136" s="1"/>
      <c r="F136" s="1"/>
      <c r="G136" s="1"/>
      <c r="H136" s="1"/>
      <c r="I136" s="1"/>
      <c r="J136" s="1"/>
      <c r="K136" s="1"/>
      <c r="L136" s="1"/>
      <c r="M136" s="1"/>
    </row>
    <row r="137" spans="1:16" x14ac:dyDescent="0.2">
      <c r="E137" s="1"/>
      <c r="F137" s="1"/>
      <c r="G137" s="1"/>
      <c r="H137" s="1"/>
      <c r="I137" s="1"/>
      <c r="J137" s="1"/>
      <c r="K137" s="1"/>
      <c r="L137" s="1"/>
      <c r="M137" s="1"/>
    </row>
    <row r="138" spans="1:16" x14ac:dyDescent="0.2">
      <c r="E138" s="1"/>
      <c r="F138" s="1"/>
      <c r="G138" s="1"/>
      <c r="H138" s="1"/>
      <c r="I138" s="1"/>
      <c r="J138" s="1"/>
      <c r="K138" s="1"/>
      <c r="L138" s="1"/>
      <c r="M138" s="1"/>
    </row>
    <row r="139" spans="1:16" x14ac:dyDescent="0.2">
      <c r="A139" t="s">
        <v>1757</v>
      </c>
      <c r="C139" s="114">
        <v>45492</v>
      </c>
      <c r="E139" s="1">
        <v>3338.44</v>
      </c>
      <c r="F139" s="1"/>
      <c r="G139" s="1">
        <v>839.12</v>
      </c>
      <c r="H139" s="1">
        <v>-7.87</v>
      </c>
      <c r="I139" s="1"/>
      <c r="J139" s="1">
        <v>19355.740000000002</v>
      </c>
      <c r="K139" s="1">
        <v>-1757.7</v>
      </c>
      <c r="L139" s="1">
        <v>6929.32</v>
      </c>
      <c r="M139" s="1">
        <v>-77.11</v>
      </c>
      <c r="P139" s="1">
        <f>SUM(J139:M139)</f>
        <v>24450.25</v>
      </c>
    </row>
    <row r="140" spans="1:16" x14ac:dyDescent="0.2">
      <c r="E140" s="1"/>
      <c r="F140" s="1"/>
      <c r="G140" s="1"/>
      <c r="H140" s="1"/>
      <c r="I140" s="1"/>
      <c r="J140" s="1"/>
      <c r="K140" s="1"/>
      <c r="L140" s="1"/>
      <c r="M140" s="1"/>
    </row>
    <row r="141" spans="1:16" x14ac:dyDescent="0.2">
      <c r="C141" t="s">
        <v>1742</v>
      </c>
      <c r="E141" s="1"/>
      <c r="F141" s="1"/>
      <c r="G141" s="1"/>
      <c r="H141" s="1"/>
      <c r="I141" s="112">
        <f>E139+J139+K139</f>
        <v>20936.48</v>
      </c>
      <c r="J141" s="1"/>
      <c r="K141" s="1"/>
      <c r="L141" s="1"/>
      <c r="M141" s="1"/>
    </row>
    <row r="142" spans="1:16" x14ac:dyDescent="0.2">
      <c r="C142" t="s">
        <v>1745</v>
      </c>
      <c r="E142" s="1"/>
      <c r="F142" s="1"/>
      <c r="G142" s="1"/>
      <c r="H142" s="1"/>
      <c r="I142" s="112">
        <v>290</v>
      </c>
      <c r="J142" s="1"/>
      <c r="K142" s="1"/>
      <c r="L142" s="1"/>
      <c r="M142" s="1"/>
    </row>
    <row r="143" spans="1:16" x14ac:dyDescent="0.2">
      <c r="C143" t="s">
        <v>1743</v>
      </c>
      <c r="E143" s="1"/>
      <c r="F143" s="1"/>
      <c r="G143" s="1"/>
      <c r="H143" s="1"/>
      <c r="I143" s="112">
        <f>G139+H139+L139+M139</f>
        <v>7683.46</v>
      </c>
      <c r="J143" s="1"/>
      <c r="K143" s="1"/>
      <c r="L143" s="1"/>
      <c r="M143" s="1"/>
    </row>
    <row r="144" spans="1:16" x14ac:dyDescent="0.2">
      <c r="E144" s="1"/>
      <c r="F144" s="1"/>
      <c r="G144" s="1"/>
      <c r="H144" s="1"/>
      <c r="I144" s="1"/>
      <c r="J144" s="1"/>
      <c r="K144" s="1"/>
      <c r="L144" s="1"/>
      <c r="M144" s="1"/>
    </row>
    <row r="145" spans="1:16" x14ac:dyDescent="0.2">
      <c r="E145" s="1"/>
      <c r="F145" s="1"/>
      <c r="G145" s="1"/>
      <c r="H145" s="1"/>
      <c r="I145" s="1"/>
      <c r="J145" s="1"/>
      <c r="K145" s="1"/>
      <c r="L145" s="1"/>
      <c r="M145" s="1"/>
    </row>
    <row r="146" spans="1:16" x14ac:dyDescent="0.2">
      <c r="E146" s="1"/>
      <c r="F146" s="1"/>
      <c r="G146" s="1"/>
      <c r="H146" s="1"/>
      <c r="I146" s="1"/>
      <c r="J146" s="1"/>
      <c r="K146" s="1"/>
      <c r="L146" s="1"/>
      <c r="M146" s="1"/>
    </row>
    <row r="147" spans="1:16" x14ac:dyDescent="0.2">
      <c r="E147" s="1"/>
      <c r="F147" s="1"/>
      <c r="G147" s="1"/>
      <c r="H147" s="1"/>
      <c r="I147" s="1"/>
      <c r="J147" s="1"/>
      <c r="K147" s="1"/>
      <c r="L147" s="1"/>
      <c r="M147" s="1"/>
    </row>
    <row r="148" spans="1:16" x14ac:dyDescent="0.2">
      <c r="E148" s="1"/>
      <c r="F148" s="1"/>
      <c r="G148" s="1"/>
      <c r="H148" s="1"/>
      <c r="I148" s="1"/>
      <c r="J148" s="1"/>
      <c r="K148" s="1"/>
      <c r="L148" s="1"/>
      <c r="M148" s="1"/>
    </row>
    <row r="149" spans="1:16" x14ac:dyDescent="0.2">
      <c r="E149" s="1"/>
      <c r="F149" s="1"/>
      <c r="G149" s="1"/>
      <c r="H149" s="1"/>
      <c r="I149" s="1"/>
      <c r="J149" s="1"/>
      <c r="K149" s="1"/>
      <c r="L149" s="1"/>
      <c r="M149" s="1"/>
    </row>
    <row r="150" spans="1:16" x14ac:dyDescent="0.2">
      <c r="A150" t="s">
        <v>1758</v>
      </c>
      <c r="C150" s="114">
        <v>45506</v>
      </c>
      <c r="E150" s="1">
        <v>3244.51</v>
      </c>
      <c r="F150" s="1"/>
      <c r="G150" s="1">
        <v>795.25</v>
      </c>
      <c r="H150" s="1">
        <v>-7.98</v>
      </c>
      <c r="I150" s="1"/>
      <c r="J150" s="1">
        <v>19558.099999999999</v>
      </c>
      <c r="K150" s="1">
        <v>-182.94</v>
      </c>
      <c r="L150" s="1">
        <v>6997.77</v>
      </c>
      <c r="M150" s="1">
        <v>-79.92</v>
      </c>
      <c r="P150" s="1">
        <f>SUM(J150:O150)</f>
        <v>26293.010000000002</v>
      </c>
    </row>
    <row r="151" spans="1:16" x14ac:dyDescent="0.2">
      <c r="C151" s="114"/>
      <c r="E151" s="1"/>
      <c r="F151" s="1"/>
      <c r="G151" s="1"/>
      <c r="H151" s="1"/>
      <c r="I151" s="1"/>
      <c r="J151" s="1"/>
      <c r="K151" s="1"/>
      <c r="L151" s="1"/>
      <c r="M151" s="1"/>
    </row>
    <row r="152" spans="1:16" x14ac:dyDescent="0.2">
      <c r="C152" t="s">
        <v>1742</v>
      </c>
      <c r="E152" s="1"/>
      <c r="F152" s="1"/>
      <c r="G152" s="1"/>
      <c r="H152" s="1"/>
      <c r="I152" s="112">
        <f>E150+J150+K150</f>
        <v>22619.670000000002</v>
      </c>
      <c r="J152" s="1"/>
      <c r="K152" s="1"/>
      <c r="L152" s="1"/>
      <c r="M152" s="1"/>
    </row>
    <row r="153" spans="1:16" x14ac:dyDescent="0.2">
      <c r="C153" t="s">
        <v>1745</v>
      </c>
      <c r="E153" s="1"/>
      <c r="F153" s="1"/>
      <c r="G153" s="1"/>
      <c r="H153" s="1"/>
      <c r="I153" s="112">
        <v>290</v>
      </c>
      <c r="J153" s="1"/>
      <c r="K153" s="1"/>
      <c r="L153" s="1"/>
      <c r="M153" s="1"/>
    </row>
    <row r="154" spans="1:16" x14ac:dyDescent="0.2">
      <c r="C154" t="s">
        <v>1743</v>
      </c>
      <c r="E154" s="1"/>
      <c r="F154" s="1"/>
      <c r="G154" s="1"/>
      <c r="H154" s="1"/>
      <c r="I154" s="112">
        <f>G150+H150+L150+M150</f>
        <v>7705.1200000000008</v>
      </c>
      <c r="J154" s="1"/>
      <c r="K154" s="1"/>
      <c r="L154" s="1"/>
      <c r="M154" s="1"/>
    </row>
    <row r="155" spans="1:16" x14ac:dyDescent="0.2">
      <c r="E155" s="1"/>
      <c r="F155" s="1"/>
      <c r="G155" s="1"/>
      <c r="H155" s="1"/>
      <c r="I155" s="1"/>
      <c r="J155" s="1"/>
      <c r="K155" s="1"/>
      <c r="L155" s="1"/>
      <c r="M155" s="1"/>
    </row>
    <row r="156" spans="1:16" x14ac:dyDescent="0.2">
      <c r="E156" s="1"/>
      <c r="F156" s="1"/>
      <c r="G156" s="1"/>
      <c r="H156" s="1"/>
      <c r="I156" s="1"/>
      <c r="J156" s="1"/>
      <c r="K156" s="1"/>
      <c r="L156" s="1"/>
      <c r="M156" s="1"/>
    </row>
    <row r="157" spans="1:16" x14ac:dyDescent="0.2">
      <c r="E157" s="1"/>
      <c r="F157" s="1"/>
      <c r="G157" s="1"/>
      <c r="H157" s="1"/>
      <c r="I157" s="1"/>
      <c r="J157" s="1"/>
      <c r="K157" s="1"/>
      <c r="L157" s="1"/>
      <c r="M157" s="1"/>
    </row>
    <row r="158" spans="1:16" x14ac:dyDescent="0.2">
      <c r="A158" t="s">
        <v>2057</v>
      </c>
      <c r="C158" s="114">
        <v>45520</v>
      </c>
      <c r="E158" s="1">
        <v>3597.18</v>
      </c>
      <c r="F158" s="1"/>
      <c r="G158" s="1">
        <v>955.34</v>
      </c>
      <c r="H158" s="1">
        <v>-14.52</v>
      </c>
      <c r="I158" s="1"/>
      <c r="J158" s="1">
        <v>14739.35</v>
      </c>
      <c r="K158" s="1">
        <v>0</v>
      </c>
      <c r="L158" s="1">
        <v>4795.08</v>
      </c>
      <c r="M158" s="1">
        <v>-59.42</v>
      </c>
      <c r="P158" s="1">
        <f>SUM(J158:O158)</f>
        <v>19475.010000000002</v>
      </c>
    </row>
    <row r="159" spans="1:16" x14ac:dyDescent="0.2">
      <c r="E159" s="1"/>
      <c r="F159" s="1"/>
      <c r="G159" s="1"/>
      <c r="H159" s="1"/>
      <c r="I159" s="1"/>
      <c r="J159" s="1"/>
      <c r="K159" s="1"/>
      <c r="L159" s="1"/>
      <c r="M159" s="1"/>
    </row>
    <row r="160" spans="1:16" x14ac:dyDescent="0.2">
      <c r="E160" s="1"/>
      <c r="F160" s="1"/>
      <c r="G160" s="1"/>
      <c r="H160" s="1"/>
      <c r="I160" s="1"/>
      <c r="J160" s="1"/>
      <c r="K160" s="1"/>
      <c r="L160" s="1"/>
      <c r="M160" s="1"/>
    </row>
    <row r="161" spans="1:16" x14ac:dyDescent="0.2">
      <c r="C161" t="s">
        <v>1742</v>
      </c>
      <c r="E161" s="1"/>
      <c r="F161" s="1"/>
      <c r="G161" s="1"/>
      <c r="H161" s="1"/>
      <c r="I161" s="112">
        <f>E158+J158+K158</f>
        <v>18336.53</v>
      </c>
      <c r="J161" s="1"/>
      <c r="K161" s="1"/>
      <c r="L161" s="1"/>
      <c r="M161" s="1"/>
    </row>
    <row r="162" spans="1:16" x14ac:dyDescent="0.2">
      <c r="C162" t="s">
        <v>1745</v>
      </c>
      <c r="E162" s="1"/>
      <c r="F162" s="1"/>
      <c r="G162" s="1"/>
      <c r="H162" s="1"/>
      <c r="I162" s="112">
        <v>290</v>
      </c>
      <c r="J162" s="1"/>
      <c r="K162" s="1"/>
      <c r="L162" s="1"/>
      <c r="M162" s="1"/>
    </row>
    <row r="163" spans="1:16" x14ac:dyDescent="0.2">
      <c r="C163" t="s">
        <v>1743</v>
      </c>
      <c r="E163" s="1"/>
      <c r="F163" s="1"/>
      <c r="G163" s="1"/>
      <c r="H163" s="1"/>
      <c r="I163" s="112">
        <f>G158+H158+L158+M158</f>
        <v>5676.48</v>
      </c>
      <c r="J163" s="1"/>
      <c r="K163" s="1"/>
      <c r="L163" s="1"/>
      <c r="M163" s="1"/>
    </row>
    <row r="164" spans="1:16" x14ac:dyDescent="0.2">
      <c r="E164" s="1"/>
      <c r="F164" s="1"/>
      <c r="G164" s="1"/>
      <c r="H164" s="1"/>
      <c r="I164" s="1"/>
      <c r="J164" s="1"/>
      <c r="K164" s="1"/>
      <c r="L164" s="1"/>
      <c r="M164" s="1"/>
    </row>
    <row r="165" spans="1:16" x14ac:dyDescent="0.2">
      <c r="E165" s="1"/>
      <c r="F165" s="1"/>
      <c r="G165" s="1"/>
      <c r="H165" s="1"/>
      <c r="I165" s="1"/>
      <c r="J165" s="1"/>
      <c r="K165" s="1"/>
      <c r="L165" s="1"/>
      <c r="M165" s="1"/>
    </row>
    <row r="166" spans="1:16" x14ac:dyDescent="0.2">
      <c r="E166" s="1"/>
      <c r="F166" s="1"/>
      <c r="G166" s="1"/>
      <c r="H166" s="1"/>
      <c r="I166" s="1"/>
      <c r="J166" s="1"/>
      <c r="K166" s="1"/>
      <c r="L166" s="1"/>
      <c r="M166" s="1"/>
    </row>
    <row r="167" spans="1:16" x14ac:dyDescent="0.2">
      <c r="A167" t="s">
        <v>2058</v>
      </c>
      <c r="C167" s="114">
        <v>45534</v>
      </c>
      <c r="E167" s="1">
        <v>2434.9</v>
      </c>
      <c r="F167" s="1"/>
      <c r="G167" s="1">
        <v>537.16999999999996</v>
      </c>
      <c r="H167" s="1">
        <v>-14.52</v>
      </c>
      <c r="I167" s="1"/>
      <c r="J167" s="1">
        <v>4885.47</v>
      </c>
      <c r="K167" s="1">
        <v>0</v>
      </c>
      <c r="L167" s="1">
        <v>1413.26</v>
      </c>
      <c r="M167" s="1">
        <v>-13.75</v>
      </c>
      <c r="P167" s="1">
        <f>SUM(J167:O167)</f>
        <v>6284.9800000000005</v>
      </c>
    </row>
    <row r="168" spans="1:16" x14ac:dyDescent="0.2">
      <c r="E168" s="1"/>
      <c r="F168" s="1"/>
      <c r="G168" s="1"/>
      <c r="H168" s="1"/>
      <c r="I168" s="1"/>
      <c r="J168" s="1"/>
      <c r="K168" s="1"/>
      <c r="L168" s="1"/>
      <c r="M168" s="1"/>
    </row>
    <row r="169" spans="1:16" x14ac:dyDescent="0.2">
      <c r="C169" t="s">
        <v>1742</v>
      </c>
      <c r="E169" s="1"/>
      <c r="F169" s="1"/>
      <c r="G169" s="1"/>
      <c r="H169" s="1"/>
      <c r="I169" s="112">
        <f>E167+J167+K167</f>
        <v>7320.3700000000008</v>
      </c>
      <c r="J169" s="1"/>
      <c r="K169" s="1"/>
      <c r="L169" s="1"/>
      <c r="M169" s="1"/>
    </row>
    <row r="170" spans="1:16" x14ac:dyDescent="0.2">
      <c r="C170" t="s">
        <v>1745</v>
      </c>
      <c r="E170" s="1"/>
      <c r="F170" s="1"/>
      <c r="G170" s="1"/>
      <c r="H170" s="1"/>
      <c r="I170" s="112">
        <v>290</v>
      </c>
      <c r="J170" s="1"/>
      <c r="K170" s="1"/>
      <c r="L170" s="1"/>
      <c r="M170" s="1"/>
    </row>
    <row r="171" spans="1:16" x14ac:dyDescent="0.2">
      <c r="C171" t="s">
        <v>1743</v>
      </c>
      <c r="E171" s="1"/>
      <c r="F171" s="1"/>
      <c r="G171" s="1"/>
      <c r="H171" s="1"/>
      <c r="I171" s="112">
        <f>G167+H167+L167+M167</f>
        <v>1922.1599999999999</v>
      </c>
      <c r="J171" s="1"/>
      <c r="K171" s="1"/>
      <c r="L171" s="1"/>
      <c r="M171" s="1"/>
    </row>
    <row r="172" spans="1:16" x14ac:dyDescent="0.2">
      <c r="E172" s="1"/>
      <c r="F172" s="1"/>
      <c r="G172" s="1"/>
      <c r="H172" s="1"/>
      <c r="I172" s="1"/>
      <c r="J172" s="1"/>
      <c r="K172" s="1"/>
      <c r="L172" s="1"/>
      <c r="M172" s="1"/>
    </row>
    <row r="173" spans="1:16" x14ac:dyDescent="0.2">
      <c r="E173" s="1"/>
      <c r="F173" s="1"/>
      <c r="G173" s="1"/>
      <c r="H173" s="1"/>
      <c r="I173" s="1"/>
      <c r="J173" s="1"/>
      <c r="K173" s="1"/>
      <c r="L173" s="1"/>
      <c r="M173" s="1"/>
    </row>
    <row r="174" spans="1:16" x14ac:dyDescent="0.2">
      <c r="A174" t="s">
        <v>2211</v>
      </c>
      <c r="C174" s="114">
        <v>45548</v>
      </c>
      <c r="E174" s="1">
        <v>2487.35</v>
      </c>
      <c r="F174" s="1"/>
      <c r="G174" s="1">
        <v>548.45000000000005</v>
      </c>
      <c r="H174" s="1"/>
      <c r="I174" s="1"/>
      <c r="J174" s="1">
        <v>9234.4500000000007</v>
      </c>
      <c r="K174" s="1">
        <v>0</v>
      </c>
      <c r="L174" s="1">
        <v>606.62</v>
      </c>
      <c r="M174" s="1"/>
      <c r="P174" s="1">
        <f>SUM(J174:O174)</f>
        <v>9841.0700000000015</v>
      </c>
    </row>
    <row r="175" spans="1:16" x14ac:dyDescent="0.2">
      <c r="E175" s="1"/>
      <c r="F175" s="1"/>
      <c r="G175" s="1"/>
      <c r="H175" s="1"/>
      <c r="I175" s="1"/>
      <c r="J175" s="1"/>
      <c r="K175" s="1"/>
      <c r="L175" s="1"/>
      <c r="M175" s="1"/>
    </row>
    <row r="176" spans="1:16" x14ac:dyDescent="0.2">
      <c r="E176" s="1"/>
      <c r="F176" s="1"/>
      <c r="G176" s="1"/>
      <c r="H176" s="1"/>
      <c r="I176" s="1"/>
      <c r="J176" s="1"/>
      <c r="K176" s="1"/>
      <c r="L176" s="1"/>
      <c r="M176" s="1"/>
    </row>
    <row r="177" spans="1:16" x14ac:dyDescent="0.2">
      <c r="C177" t="s">
        <v>1742</v>
      </c>
      <c r="E177" s="1"/>
      <c r="F177" s="1"/>
      <c r="G177" s="1"/>
      <c r="H177" s="1"/>
      <c r="I177" s="112">
        <f>E174+J174</f>
        <v>11721.800000000001</v>
      </c>
      <c r="J177" s="1"/>
      <c r="K177" s="1"/>
      <c r="L177" s="1"/>
      <c r="M177" s="1"/>
    </row>
    <row r="178" spans="1:16" x14ac:dyDescent="0.2">
      <c r="C178" t="s">
        <v>1745</v>
      </c>
      <c r="E178" s="1"/>
      <c r="F178" s="1"/>
      <c r="G178" s="1"/>
      <c r="H178" s="1"/>
      <c r="I178" s="112">
        <v>290</v>
      </c>
      <c r="J178" s="1"/>
      <c r="K178" s="1"/>
      <c r="L178" s="1"/>
      <c r="M178" s="1"/>
    </row>
    <row r="179" spans="1:16" x14ac:dyDescent="0.2">
      <c r="C179" t="s">
        <v>1743</v>
      </c>
      <c r="E179" s="1"/>
      <c r="F179" s="1"/>
      <c r="G179" s="1"/>
      <c r="H179" s="1"/>
      <c r="I179" s="112">
        <f>G174+H174+L174+M174</f>
        <v>1155.0700000000002</v>
      </c>
      <c r="J179" s="1"/>
      <c r="K179" s="1"/>
      <c r="L179" s="1"/>
      <c r="M179" s="1"/>
    </row>
    <row r="180" spans="1:16" x14ac:dyDescent="0.2">
      <c r="E180" s="1"/>
      <c r="F180" s="1"/>
      <c r="G180" s="1"/>
      <c r="H180" s="1"/>
      <c r="I180" s="1"/>
      <c r="J180" s="1"/>
      <c r="K180" s="1"/>
      <c r="L180" s="1"/>
      <c r="M180" s="1"/>
    </row>
    <row r="181" spans="1:16" x14ac:dyDescent="0.2">
      <c r="E181" s="1"/>
      <c r="F181" s="1"/>
      <c r="G181" s="1"/>
      <c r="H181" s="1"/>
      <c r="I181" s="1"/>
      <c r="J181" s="1"/>
      <c r="K181" s="1"/>
      <c r="L181" s="1"/>
      <c r="M181" s="1"/>
    </row>
    <row r="182" spans="1:16" x14ac:dyDescent="0.2">
      <c r="A182" t="s">
        <v>2212</v>
      </c>
      <c r="C182" s="114">
        <v>45561</v>
      </c>
      <c r="E182" s="1">
        <v>2389.0300000000002</v>
      </c>
      <c r="F182" s="1"/>
      <c r="G182" s="1">
        <v>527.28</v>
      </c>
      <c r="H182" s="1">
        <v>-12.64</v>
      </c>
      <c r="I182" s="1"/>
      <c r="J182" s="1">
        <v>4724.09</v>
      </c>
      <c r="K182" s="1">
        <v>0</v>
      </c>
      <c r="L182" s="1">
        <v>1352.48</v>
      </c>
      <c r="M182" s="1">
        <v>-14.51</v>
      </c>
      <c r="N182" s="1"/>
      <c r="P182" s="1">
        <f>SUM(J182:O182)</f>
        <v>6062.0599999999995</v>
      </c>
    </row>
    <row r="183" spans="1:16" x14ac:dyDescent="0.2">
      <c r="E183" s="1"/>
      <c r="F183" s="1"/>
      <c r="G183" s="1"/>
      <c r="H183" s="1"/>
      <c r="I183" s="1"/>
      <c r="J183" s="1"/>
      <c r="K183" s="1"/>
      <c r="L183" s="1"/>
      <c r="M183" s="1"/>
    </row>
    <row r="184" spans="1:16" x14ac:dyDescent="0.2">
      <c r="C184" t="s">
        <v>1742</v>
      </c>
      <c r="E184" s="1"/>
      <c r="F184" s="1"/>
      <c r="G184" s="1"/>
      <c r="H184" s="1"/>
      <c r="I184" s="112">
        <f>E182+J182</f>
        <v>7113.1200000000008</v>
      </c>
      <c r="J184" s="1"/>
      <c r="K184" s="1"/>
      <c r="L184" s="1"/>
      <c r="M184" s="1"/>
    </row>
    <row r="185" spans="1:16" x14ac:dyDescent="0.2">
      <c r="C185" t="s">
        <v>1745</v>
      </c>
      <c r="E185" s="1"/>
      <c r="F185" s="1"/>
      <c r="G185" s="1"/>
      <c r="H185" s="1"/>
      <c r="I185" s="112">
        <v>290</v>
      </c>
      <c r="J185" s="1"/>
      <c r="K185" s="1"/>
      <c r="L185" s="1"/>
      <c r="M185" s="1"/>
    </row>
    <row r="186" spans="1:16" x14ac:dyDescent="0.2">
      <c r="C186" t="s">
        <v>1743</v>
      </c>
      <c r="E186" s="1"/>
      <c r="F186" s="1"/>
      <c r="G186" s="1"/>
      <c r="H186" s="1"/>
      <c r="I186" s="112">
        <f>G182+H182+L182+M182</f>
        <v>1852.61</v>
      </c>
      <c r="J186" s="1"/>
      <c r="K186" s="1"/>
      <c r="L186" s="1"/>
      <c r="M186" s="1"/>
    </row>
    <row r="187" spans="1:16" x14ac:dyDescent="0.2">
      <c r="E187" s="1"/>
      <c r="F187" s="1"/>
      <c r="G187" s="1"/>
      <c r="H187" s="1"/>
      <c r="I187" s="1"/>
      <c r="J187" s="1"/>
      <c r="K187" s="1"/>
      <c r="L187" s="1"/>
      <c r="M187" s="1"/>
    </row>
    <row r="188" spans="1:16" x14ac:dyDescent="0.2">
      <c r="E188" s="1"/>
      <c r="F188" s="1"/>
      <c r="G188" s="1"/>
      <c r="H188" s="1"/>
      <c r="I188" s="1"/>
      <c r="J188" s="1"/>
      <c r="K188" s="1"/>
      <c r="L188" s="1"/>
      <c r="M188" s="1"/>
    </row>
    <row r="189" spans="1:16" x14ac:dyDescent="0.2">
      <c r="E189" s="1"/>
      <c r="F189" s="1"/>
      <c r="G189" s="1"/>
      <c r="H189" s="1"/>
      <c r="I189" s="1"/>
      <c r="J189" s="1"/>
      <c r="K189" s="1"/>
      <c r="L189" s="1"/>
      <c r="M189" s="1"/>
    </row>
    <row r="190" spans="1:16" x14ac:dyDescent="0.2">
      <c r="E190" s="1"/>
      <c r="F190" s="1"/>
      <c r="G190" s="1"/>
      <c r="H190" s="1"/>
      <c r="I190" s="1"/>
      <c r="J190" s="1"/>
      <c r="K190" s="1"/>
      <c r="L190" s="1"/>
      <c r="M190" s="1"/>
    </row>
    <row r="191" spans="1:16" x14ac:dyDescent="0.2">
      <c r="A191" t="s">
        <v>2338</v>
      </c>
      <c r="C191" s="114">
        <v>45576</v>
      </c>
      <c r="E191" s="1">
        <v>2467.66</v>
      </c>
      <c r="F191" s="1"/>
      <c r="G191" s="1">
        <v>534.53</v>
      </c>
      <c r="H191" s="1">
        <v>-26.4</v>
      </c>
      <c r="I191" s="1"/>
      <c r="J191" s="1">
        <v>4474.45</v>
      </c>
      <c r="K191" s="1"/>
      <c r="L191" s="1">
        <v>1363.54</v>
      </c>
      <c r="M191" s="1">
        <v>-26.8</v>
      </c>
      <c r="P191" s="1">
        <f>SUM(J191:M191)</f>
        <v>5811.19</v>
      </c>
    </row>
    <row r="192" spans="1:16" x14ac:dyDescent="0.2">
      <c r="C192" t="s">
        <v>1742</v>
      </c>
      <c r="E192" s="1"/>
      <c r="F192" s="1"/>
      <c r="G192" s="1"/>
      <c r="H192" s="1"/>
      <c r="I192" s="112">
        <f>E191+J191</f>
        <v>6942.11</v>
      </c>
      <c r="J192" s="1"/>
      <c r="K192" s="1"/>
      <c r="L192" s="1"/>
      <c r="M192" s="1"/>
    </row>
    <row r="193" spans="1:16" x14ac:dyDescent="0.2">
      <c r="C193" t="s">
        <v>1745</v>
      </c>
      <c r="E193" s="1"/>
      <c r="F193" s="1"/>
      <c r="G193" s="1"/>
      <c r="H193" s="1"/>
      <c r="I193" s="112">
        <v>290</v>
      </c>
      <c r="J193" s="1"/>
      <c r="K193" s="1"/>
      <c r="L193" s="1"/>
      <c r="M193" s="1"/>
    </row>
    <row r="194" spans="1:16" x14ac:dyDescent="0.2">
      <c r="C194" t="s">
        <v>1743</v>
      </c>
      <c r="E194" s="1"/>
      <c r="F194" s="1"/>
      <c r="G194" s="1"/>
      <c r="H194" s="1"/>
      <c r="I194" s="112">
        <f>G191+H191+L191+M191</f>
        <v>1844.8700000000001</v>
      </c>
      <c r="J194" s="1"/>
      <c r="K194" s="1"/>
      <c r="L194" s="1"/>
      <c r="M194" s="1"/>
    </row>
    <row r="195" spans="1:16" x14ac:dyDescent="0.2">
      <c r="E195" s="1"/>
      <c r="F195" s="1"/>
      <c r="G195" s="1"/>
      <c r="H195" s="1"/>
      <c r="I195" s="1"/>
      <c r="J195" s="1"/>
      <c r="K195" s="1"/>
      <c r="L195" s="1"/>
      <c r="M195" s="1"/>
    </row>
    <row r="196" spans="1:16" x14ac:dyDescent="0.2">
      <c r="E196" s="1"/>
      <c r="F196" s="1"/>
      <c r="G196" s="1"/>
      <c r="H196" s="1"/>
      <c r="I196" s="1"/>
      <c r="J196" s="1"/>
      <c r="K196" s="1"/>
      <c r="L196" s="1"/>
      <c r="M196" s="1"/>
    </row>
    <row r="197" spans="1:16" x14ac:dyDescent="0.2">
      <c r="E197" s="1"/>
      <c r="F197" s="1"/>
      <c r="G197" s="1"/>
      <c r="H197" s="1"/>
      <c r="I197" s="1"/>
      <c r="J197" s="1"/>
      <c r="K197" s="1"/>
      <c r="L197" s="1"/>
      <c r="M197" s="1"/>
    </row>
    <row r="198" spans="1:16" x14ac:dyDescent="0.2">
      <c r="E198" s="1"/>
      <c r="F198" s="1"/>
      <c r="G198" s="1"/>
      <c r="H198" s="1"/>
      <c r="I198" s="1"/>
      <c r="J198" s="1"/>
      <c r="K198" s="1"/>
      <c r="L198" s="1"/>
      <c r="M198" s="1"/>
    </row>
    <row r="199" spans="1:16" x14ac:dyDescent="0.2">
      <c r="A199" t="s">
        <v>2339</v>
      </c>
      <c r="C199" s="114">
        <v>45590</v>
      </c>
      <c r="E199" s="1">
        <v>2507.0100000000002</v>
      </c>
      <c r="F199" s="1"/>
      <c r="G199" s="1">
        <v>525.05999999999995</v>
      </c>
      <c r="H199" s="1">
        <v>-3.44</v>
      </c>
      <c r="I199" s="1"/>
      <c r="J199" s="1">
        <v>3807.36</v>
      </c>
      <c r="K199" s="1"/>
      <c r="L199" s="1">
        <v>1057.51</v>
      </c>
      <c r="M199" s="1">
        <v>-18.899999999999999</v>
      </c>
      <c r="P199" s="1">
        <f>SUM(J199:N199)</f>
        <v>4845.97</v>
      </c>
    </row>
    <row r="200" spans="1:16" x14ac:dyDescent="0.2">
      <c r="C200" t="s">
        <v>1742</v>
      </c>
      <c r="E200" s="1"/>
      <c r="F200" s="1"/>
      <c r="G200" s="1"/>
      <c r="H200" s="1"/>
      <c r="I200" s="112">
        <f>E199+J199</f>
        <v>6314.3700000000008</v>
      </c>
      <c r="J200" s="1"/>
      <c r="K200" s="1"/>
      <c r="L200" s="1"/>
      <c r="M200" s="1"/>
    </row>
    <row r="201" spans="1:16" x14ac:dyDescent="0.2">
      <c r="C201" t="s">
        <v>1745</v>
      </c>
      <c r="E201" s="1"/>
      <c r="F201" s="1"/>
      <c r="G201" s="1"/>
      <c r="H201" s="1"/>
      <c r="I201" s="112">
        <v>290</v>
      </c>
      <c r="J201" s="1"/>
      <c r="K201" s="1"/>
      <c r="L201" s="1"/>
      <c r="M201" s="1"/>
    </row>
    <row r="202" spans="1:16" x14ac:dyDescent="0.2">
      <c r="C202" t="s">
        <v>1743</v>
      </c>
      <c r="E202" s="1"/>
      <c r="F202" s="1"/>
      <c r="G202" s="1"/>
      <c r="H202" s="1"/>
      <c r="I202" s="112">
        <f>G199+H199+L199+M199</f>
        <v>1560.2299999999998</v>
      </c>
      <c r="J202" s="1"/>
      <c r="K202" s="1"/>
      <c r="L202" s="1"/>
      <c r="M202" s="1"/>
    </row>
    <row r="203" spans="1:16" x14ac:dyDescent="0.2">
      <c r="E203" s="1"/>
      <c r="F203" s="1"/>
      <c r="G203" s="1"/>
      <c r="H203" s="1"/>
      <c r="I203" s="1"/>
      <c r="J203" s="1"/>
      <c r="K203" s="1"/>
      <c r="L203" s="1"/>
      <c r="M203" s="1"/>
    </row>
    <row r="204" spans="1:16" x14ac:dyDescent="0.2">
      <c r="E204" s="1"/>
      <c r="F204" s="1"/>
      <c r="G204" s="1"/>
      <c r="H204" s="1"/>
      <c r="I204" s="1"/>
      <c r="J204" s="1"/>
      <c r="K204" s="1"/>
      <c r="L204" s="1"/>
      <c r="M204" s="1"/>
    </row>
    <row r="205" spans="1:16" x14ac:dyDescent="0.2">
      <c r="E205" s="1"/>
      <c r="F205" s="1"/>
      <c r="G205" s="1"/>
      <c r="H205" s="1"/>
      <c r="I205" s="1"/>
      <c r="J205" s="1"/>
      <c r="K205" s="1"/>
      <c r="L205" s="1"/>
      <c r="M205" s="1"/>
    </row>
    <row r="206" spans="1:16" x14ac:dyDescent="0.2">
      <c r="E206" s="1"/>
      <c r="F206" s="1"/>
      <c r="G206" s="1"/>
      <c r="H206" s="1"/>
      <c r="I206" s="1"/>
      <c r="J206" s="1"/>
      <c r="K206" s="1"/>
      <c r="L206" s="1"/>
      <c r="M206" s="1"/>
    </row>
    <row r="207" spans="1:16" x14ac:dyDescent="0.2">
      <c r="E207" s="1"/>
      <c r="F207" s="1"/>
      <c r="G207" s="1"/>
      <c r="H207" s="1"/>
      <c r="I207" s="1"/>
      <c r="J207" s="1"/>
      <c r="K207" s="1"/>
      <c r="L207" s="1"/>
      <c r="M207" s="1"/>
    </row>
    <row r="208" spans="1:16" x14ac:dyDescent="0.2">
      <c r="A208" t="s">
        <v>2526</v>
      </c>
      <c r="C208" s="114">
        <v>45603</v>
      </c>
      <c r="E208" s="1">
        <v>2585.39</v>
      </c>
      <c r="F208" s="1"/>
      <c r="G208" s="1">
        <v>542.28</v>
      </c>
      <c r="H208" s="1">
        <v>-3.44</v>
      </c>
      <c r="I208" s="1"/>
      <c r="J208" s="1">
        <v>4324.26</v>
      </c>
      <c r="K208" s="1"/>
      <c r="L208" s="1">
        <v>1259.1600000000001</v>
      </c>
      <c r="M208" s="1">
        <v>-21.39</v>
      </c>
      <c r="P208" s="1">
        <f>SUM(J208:N208)</f>
        <v>5562.03</v>
      </c>
    </row>
    <row r="209" spans="1:21" x14ac:dyDescent="0.2">
      <c r="C209" t="s">
        <v>1742</v>
      </c>
      <c r="E209" s="1"/>
      <c r="F209" s="1"/>
      <c r="G209" s="1"/>
      <c r="H209" s="1"/>
      <c r="I209" s="112">
        <f>E208+J208</f>
        <v>6909.65</v>
      </c>
      <c r="J209" s="1"/>
      <c r="K209" s="1"/>
      <c r="L209" s="1"/>
      <c r="M209" s="1"/>
    </row>
    <row r="210" spans="1:21" x14ac:dyDescent="0.2">
      <c r="C210" t="s">
        <v>1745</v>
      </c>
      <c r="E210" s="1"/>
      <c r="F210" s="1"/>
      <c r="G210" s="1"/>
      <c r="H210" s="1"/>
      <c r="I210" s="112">
        <v>290</v>
      </c>
      <c r="J210" s="1"/>
      <c r="K210" s="1"/>
      <c r="L210" s="1"/>
      <c r="M210" s="1"/>
    </row>
    <row r="211" spans="1:21" x14ac:dyDescent="0.2">
      <c r="C211" t="s">
        <v>1743</v>
      </c>
      <c r="E211" s="1"/>
      <c r="F211" s="1"/>
      <c r="G211" s="1"/>
      <c r="H211" s="1"/>
      <c r="I211" s="112">
        <f>G208+H208+L208+M208</f>
        <v>1776.61</v>
      </c>
      <c r="J211" s="1"/>
      <c r="K211" s="1"/>
      <c r="L211" s="1"/>
      <c r="M211" s="1"/>
    </row>
    <row r="212" spans="1:21" x14ac:dyDescent="0.2">
      <c r="E212" s="1"/>
      <c r="F212" s="1"/>
      <c r="G212" s="1"/>
      <c r="H212" s="1"/>
      <c r="I212" s="1"/>
      <c r="J212" s="1"/>
      <c r="K212" s="1"/>
      <c r="L212" s="1"/>
      <c r="M212" s="1"/>
    </row>
    <row r="216" spans="1:21" x14ac:dyDescent="0.2">
      <c r="E216" s="1"/>
      <c r="F216" s="1"/>
      <c r="G216" s="1"/>
      <c r="H216" s="1"/>
      <c r="I216" s="1"/>
      <c r="J216" s="1"/>
      <c r="K216" s="1"/>
      <c r="L216" s="1"/>
      <c r="M216" s="1"/>
      <c r="U216" s="1"/>
    </row>
    <row r="217" spans="1:21" x14ac:dyDescent="0.2">
      <c r="A217" t="s">
        <v>2527</v>
      </c>
      <c r="C217" s="114">
        <v>45618</v>
      </c>
      <c r="E217" s="1">
        <v>2387.71</v>
      </c>
      <c r="F217" s="1"/>
      <c r="G217" s="1">
        <v>499.36</v>
      </c>
      <c r="H217" s="1">
        <v>-3.44</v>
      </c>
      <c r="I217" s="1"/>
      <c r="J217" s="1">
        <v>3597.64</v>
      </c>
      <c r="K217" s="1"/>
      <c r="L217" s="1">
        <v>997.55</v>
      </c>
      <c r="M217" s="1">
        <v>-17.53</v>
      </c>
      <c r="P217" s="1">
        <f>SUM(J217:N217)</f>
        <v>4577.66</v>
      </c>
    </row>
    <row r="218" spans="1:21" x14ac:dyDescent="0.2">
      <c r="C218" t="s">
        <v>1742</v>
      </c>
      <c r="E218" s="1"/>
      <c r="F218" s="1"/>
      <c r="G218" s="1"/>
      <c r="H218" s="1"/>
      <c r="I218" s="112">
        <f>E217+J217</f>
        <v>5985.35</v>
      </c>
      <c r="J218" s="1"/>
      <c r="K218" s="1"/>
      <c r="L218" s="1"/>
      <c r="M218" s="1"/>
    </row>
    <row r="219" spans="1:21" x14ac:dyDescent="0.2">
      <c r="C219" t="s">
        <v>1745</v>
      </c>
      <c r="E219" s="1"/>
      <c r="F219" s="1"/>
      <c r="G219" s="1"/>
      <c r="H219" s="1"/>
      <c r="I219" s="112">
        <v>290</v>
      </c>
      <c r="J219" s="1"/>
      <c r="K219" s="1"/>
      <c r="L219" s="1"/>
      <c r="M219" s="1"/>
    </row>
    <row r="220" spans="1:21" x14ac:dyDescent="0.2">
      <c r="C220" t="s">
        <v>1743</v>
      </c>
      <c r="E220" s="1"/>
      <c r="F220" s="1"/>
      <c r="G220" s="1"/>
      <c r="H220" s="1"/>
      <c r="I220" s="112">
        <f>G217+H217+L217+M217</f>
        <v>1475.94</v>
      </c>
      <c r="J220" s="1"/>
      <c r="K220" s="1"/>
      <c r="L220" s="1"/>
      <c r="M220" s="1"/>
    </row>
    <row r="221" spans="1:21" x14ac:dyDescent="0.2">
      <c r="E221" s="1"/>
      <c r="F221" s="1"/>
      <c r="G221" s="1"/>
      <c r="H221" s="1"/>
      <c r="I221" s="1"/>
      <c r="J221" s="1"/>
      <c r="K221" s="1"/>
      <c r="L221" s="1"/>
      <c r="M221" s="1"/>
    </row>
    <row r="224" spans="1:21" x14ac:dyDescent="0.2">
      <c r="A224" t="s">
        <v>2529</v>
      </c>
      <c r="C224" s="114">
        <v>45634</v>
      </c>
      <c r="E224" s="1">
        <v>2474.2199999999998</v>
      </c>
      <c r="F224" s="1"/>
      <c r="G224" s="1">
        <v>518.07000000000005</v>
      </c>
      <c r="H224" s="1">
        <v>-3.44</v>
      </c>
      <c r="I224" s="1"/>
      <c r="J224" s="1">
        <v>2547.33</v>
      </c>
      <c r="K224" s="1"/>
      <c r="L224" s="1">
        <v>756.05</v>
      </c>
      <c r="M224" s="1">
        <v>-12.75</v>
      </c>
      <c r="P224" s="1">
        <f>SUM(J224:N224)</f>
        <v>3290.63</v>
      </c>
    </row>
    <row r="225" spans="1:16" x14ac:dyDescent="0.2">
      <c r="E225" s="1"/>
      <c r="F225" s="1"/>
      <c r="G225" s="1"/>
      <c r="H225" s="1"/>
      <c r="I225" s="1"/>
      <c r="J225" s="1"/>
      <c r="K225" s="1"/>
      <c r="L225" s="1"/>
      <c r="M225" s="1"/>
    </row>
    <row r="226" spans="1:16" x14ac:dyDescent="0.2">
      <c r="C226" t="s">
        <v>1742</v>
      </c>
      <c r="E226" s="1"/>
      <c r="F226" s="1"/>
      <c r="G226" s="1"/>
      <c r="H226" s="1"/>
      <c r="I226" s="112">
        <f>E224+J224</f>
        <v>5021.5499999999993</v>
      </c>
      <c r="J226" s="1"/>
      <c r="K226" s="1"/>
      <c r="L226" s="1"/>
      <c r="M226" s="1"/>
    </row>
    <row r="227" spans="1:16" x14ac:dyDescent="0.2">
      <c r="C227" t="s">
        <v>1745</v>
      </c>
      <c r="E227" s="1"/>
      <c r="F227" s="1"/>
      <c r="G227" s="1"/>
      <c r="H227" s="1"/>
      <c r="I227" s="112">
        <v>290</v>
      </c>
      <c r="J227" s="1"/>
      <c r="K227" s="1"/>
      <c r="L227" s="1"/>
      <c r="M227" s="1"/>
    </row>
    <row r="228" spans="1:16" x14ac:dyDescent="0.2">
      <c r="C228" t="s">
        <v>1743</v>
      </c>
      <c r="E228" s="1"/>
      <c r="F228" s="1"/>
      <c r="G228" s="1"/>
      <c r="H228" s="1"/>
      <c r="I228" s="112">
        <f>G224+H224+L224+M224</f>
        <v>1257.9299999999998</v>
      </c>
      <c r="J228" s="1"/>
      <c r="K228" s="1"/>
      <c r="L228" s="1"/>
      <c r="M228" s="1"/>
    </row>
    <row r="229" spans="1:16" x14ac:dyDescent="0.2">
      <c r="E229" s="1"/>
      <c r="F229" s="1"/>
      <c r="G229" s="1"/>
      <c r="H229" s="1"/>
      <c r="I229" s="1"/>
      <c r="J229" s="1"/>
      <c r="K229" s="1"/>
      <c r="L229" s="1"/>
      <c r="M229" s="1"/>
    </row>
    <row r="230" spans="1:16" x14ac:dyDescent="0.2">
      <c r="E230" s="1"/>
      <c r="F230" s="1"/>
      <c r="G230" s="1"/>
      <c r="H230" s="1"/>
      <c r="I230" s="1"/>
      <c r="J230" s="1"/>
      <c r="K230" s="1"/>
      <c r="L230" s="1"/>
      <c r="M230" s="1"/>
    </row>
    <row r="235" spans="1:16" x14ac:dyDescent="0.2">
      <c r="A235" t="s">
        <v>2682</v>
      </c>
      <c r="C235" s="114">
        <v>45646</v>
      </c>
      <c r="E235" s="1">
        <v>2434.91</v>
      </c>
      <c r="F235" s="1"/>
      <c r="G235" s="1">
        <v>509.52</v>
      </c>
      <c r="H235" s="1">
        <v>-2.0699999999999998</v>
      </c>
      <c r="I235" s="1"/>
      <c r="J235" s="1">
        <v>2630.3</v>
      </c>
      <c r="K235" s="1"/>
      <c r="L235" s="1">
        <v>771.6</v>
      </c>
      <c r="M235" s="1">
        <v>-14.51</v>
      </c>
      <c r="P235" s="1">
        <f>SUM(J235:N235)</f>
        <v>3387.39</v>
      </c>
    </row>
    <row r="236" spans="1:16" x14ac:dyDescent="0.2">
      <c r="E236" s="1"/>
      <c r="F236" s="1"/>
      <c r="G236" s="1"/>
      <c r="H236" s="1"/>
      <c r="I236" s="1"/>
      <c r="J236" s="1"/>
      <c r="K236" s="1"/>
      <c r="L236" s="1"/>
      <c r="M236" s="1"/>
    </row>
    <row r="237" spans="1:16" x14ac:dyDescent="0.2">
      <c r="C237" t="s">
        <v>1742</v>
      </c>
      <c r="E237" s="1"/>
      <c r="F237" s="1"/>
      <c r="G237" s="1"/>
      <c r="H237" s="1"/>
      <c r="I237" s="112">
        <f>E235+J235</f>
        <v>5065.21</v>
      </c>
      <c r="J237" s="1"/>
      <c r="K237" s="1"/>
      <c r="L237" s="1"/>
      <c r="M237" s="1"/>
    </row>
    <row r="238" spans="1:16" x14ac:dyDescent="0.2">
      <c r="C238" t="s">
        <v>1745</v>
      </c>
      <c r="E238" s="1"/>
      <c r="F238" s="1"/>
      <c r="G238" s="1"/>
      <c r="H238" s="1"/>
      <c r="I238" s="112">
        <v>290</v>
      </c>
      <c r="J238" s="1"/>
      <c r="K238" s="1"/>
      <c r="L238" s="1"/>
      <c r="M238" s="1"/>
    </row>
    <row r="239" spans="1:16" x14ac:dyDescent="0.2">
      <c r="C239" t="s">
        <v>1743</v>
      </c>
      <c r="E239" s="1"/>
      <c r="F239" s="1"/>
      <c r="G239" s="1"/>
      <c r="H239" s="1"/>
      <c r="I239" s="112">
        <f>G235+H235+L235+M235</f>
        <v>1264.54</v>
      </c>
      <c r="J239" s="1"/>
      <c r="K239" s="1"/>
      <c r="L239" s="1"/>
      <c r="M239" s="1"/>
    </row>
    <row r="240" spans="1:16" x14ac:dyDescent="0.2">
      <c r="E240" s="1"/>
      <c r="F240" s="1"/>
      <c r="G240" s="1"/>
      <c r="H240" s="1"/>
      <c r="I240" s="1"/>
      <c r="J240" s="1"/>
      <c r="K240" s="1"/>
      <c r="L240" s="1"/>
      <c r="M240" s="1"/>
    </row>
    <row r="243" spans="1:22" x14ac:dyDescent="0.2">
      <c r="A243" t="s">
        <v>2683</v>
      </c>
      <c r="C243" s="114">
        <v>45660</v>
      </c>
      <c r="E243" s="1">
        <v>2584.7600000000002</v>
      </c>
      <c r="F243" s="1"/>
      <c r="G243">
        <v>670.51</v>
      </c>
      <c r="H243" s="1">
        <v>-0.67</v>
      </c>
      <c r="I243" s="1"/>
      <c r="J243" s="1">
        <v>2362.4899999999998</v>
      </c>
      <c r="K243" s="1"/>
      <c r="L243" s="1">
        <v>857.08</v>
      </c>
      <c r="M243" s="1">
        <v>-14.51</v>
      </c>
      <c r="P243" s="1">
        <f>SUM(J243:N243)</f>
        <v>3205.0599999999995</v>
      </c>
    </row>
    <row r="244" spans="1:22" x14ac:dyDescent="0.2">
      <c r="E244" s="1"/>
      <c r="F244" s="1"/>
      <c r="G244" s="1"/>
      <c r="H244" s="1"/>
      <c r="I244" s="1"/>
      <c r="J244" s="1"/>
      <c r="K244" s="1"/>
      <c r="L244" s="1"/>
      <c r="M244" s="1"/>
    </row>
    <row r="245" spans="1:22" x14ac:dyDescent="0.2">
      <c r="C245" t="s">
        <v>1742</v>
      </c>
      <c r="E245" s="1"/>
      <c r="F245" s="1"/>
      <c r="G245" s="1"/>
      <c r="H245" s="1"/>
      <c r="I245" s="112">
        <f>E243+J243</f>
        <v>4947.25</v>
      </c>
      <c r="J245" s="1"/>
      <c r="K245" s="1"/>
      <c r="L245" s="1"/>
      <c r="M245" s="1"/>
    </row>
    <row r="246" spans="1:22" ht="16" thickBot="1" x14ac:dyDescent="0.25">
      <c r="C246" t="s">
        <v>1745</v>
      </c>
      <c r="E246" s="1"/>
      <c r="F246" s="1"/>
      <c r="G246" s="1"/>
      <c r="H246" s="1"/>
      <c r="I246" s="112">
        <v>290</v>
      </c>
      <c r="J246" s="1"/>
      <c r="K246" s="1"/>
      <c r="L246" s="1"/>
      <c r="M246" s="1"/>
    </row>
    <row r="247" spans="1:22" x14ac:dyDescent="0.2">
      <c r="C247" t="s">
        <v>1743</v>
      </c>
      <c r="E247" s="1"/>
      <c r="F247" s="1"/>
      <c r="G247" s="1"/>
      <c r="H247" s="1"/>
      <c r="I247" s="112">
        <f>G243+H243+L243+M243</f>
        <v>1512.41</v>
      </c>
      <c r="J247" s="1"/>
      <c r="K247" s="1"/>
      <c r="L247" s="1"/>
      <c r="M247" s="1"/>
      <c r="Q247" s="116">
        <f>SUM(P7:P243)</f>
        <v>209667.03200000004</v>
      </c>
      <c r="R247" s="117" t="s">
        <v>2530</v>
      </c>
      <c r="S247" s="117"/>
      <c r="T247" s="118"/>
      <c r="U247" s="118"/>
      <c r="V247" s="119" t="s">
        <v>1759</v>
      </c>
    </row>
    <row r="248" spans="1:22" x14ac:dyDescent="0.2">
      <c r="E248" s="1"/>
      <c r="F248" s="1"/>
      <c r="G248" s="1"/>
      <c r="H248" s="1"/>
      <c r="I248" s="1"/>
      <c r="J248" s="1"/>
      <c r="K248" s="1"/>
      <c r="L248" s="1"/>
      <c r="M248" s="1"/>
      <c r="Q248" s="258">
        <v>-30000</v>
      </c>
      <c r="R248" s="1" t="s">
        <v>1760</v>
      </c>
      <c r="U248" s="114">
        <v>45491</v>
      </c>
      <c r="V248" s="120" t="s">
        <v>1761</v>
      </c>
    </row>
    <row r="249" spans="1:22" x14ac:dyDescent="0.2">
      <c r="Q249" s="258">
        <v>-25000</v>
      </c>
      <c r="R249" s="1" t="s">
        <v>2054</v>
      </c>
      <c r="U249" s="114">
        <v>45511</v>
      </c>
      <c r="V249" s="120" t="s">
        <v>1761</v>
      </c>
    </row>
    <row r="250" spans="1:22" x14ac:dyDescent="0.2">
      <c r="Q250" s="258"/>
      <c r="R250" s="1" t="s">
        <v>1762</v>
      </c>
      <c r="V250" s="120"/>
    </row>
    <row r="251" spans="1:22" x14ac:dyDescent="0.2">
      <c r="E251" s="1"/>
      <c r="F251" s="1"/>
      <c r="G251" s="1"/>
      <c r="H251" s="1"/>
      <c r="I251" s="1"/>
      <c r="J251" s="1"/>
      <c r="K251" s="1"/>
      <c r="L251" s="1"/>
      <c r="M251" s="1"/>
      <c r="Q251" s="259">
        <v>-90000</v>
      </c>
      <c r="R251" s="1" t="s">
        <v>2528</v>
      </c>
      <c r="V251" s="120"/>
    </row>
    <row r="252" spans="1:22" ht="16" thickBot="1" x14ac:dyDescent="0.25">
      <c r="E252" s="1"/>
      <c r="F252" s="1"/>
      <c r="G252" s="1"/>
      <c r="H252" s="1"/>
      <c r="I252" s="1"/>
      <c r="J252" s="1"/>
      <c r="K252" s="1"/>
      <c r="L252" s="1"/>
      <c r="M252" s="1"/>
      <c r="Q252" s="121">
        <f>SUM(Q247:Q251)</f>
        <v>64667.032000000036</v>
      </c>
      <c r="R252" s="122"/>
      <c r="S252" s="122"/>
      <c r="T252" s="123"/>
      <c r="U252" s="108"/>
      <c r="V252" s="124"/>
    </row>
    <row r="253" spans="1:22" x14ac:dyDescent="0.2">
      <c r="C253" t="s">
        <v>1742</v>
      </c>
      <c r="E253" s="1"/>
      <c r="F253" s="1"/>
      <c r="G253" s="1"/>
      <c r="H253" s="1"/>
      <c r="I253" s="112">
        <f>E251+J251</f>
        <v>0</v>
      </c>
      <c r="J253" s="1"/>
      <c r="K253" s="1"/>
      <c r="L253" s="1"/>
      <c r="M253" s="1"/>
    </row>
    <row r="254" spans="1:22" x14ac:dyDescent="0.2">
      <c r="C254" t="s">
        <v>1745</v>
      </c>
      <c r="E254" s="1"/>
      <c r="F254" s="1"/>
      <c r="G254" s="1"/>
      <c r="H254" s="1"/>
      <c r="I254" s="112">
        <v>290</v>
      </c>
      <c r="J254" s="1"/>
      <c r="K254" s="1"/>
      <c r="L254" s="1"/>
      <c r="M254" s="1"/>
    </row>
    <row r="255" spans="1:22" x14ac:dyDescent="0.2">
      <c r="C255" t="s">
        <v>1743</v>
      </c>
      <c r="E255" s="1"/>
      <c r="F255" s="1"/>
      <c r="G255" s="1"/>
      <c r="H255" s="1"/>
      <c r="I255" s="112">
        <f>G251+H251+L251+M251</f>
        <v>0</v>
      </c>
      <c r="J255" s="1"/>
      <c r="K255" s="1"/>
      <c r="L255" s="1"/>
      <c r="M255" s="1"/>
    </row>
    <row r="256" spans="1:22" x14ac:dyDescent="0.2">
      <c r="E256" s="1"/>
      <c r="F256" s="1"/>
      <c r="G256" s="1"/>
      <c r="H256" s="1"/>
      <c r="I256" s="1"/>
      <c r="J256" s="1"/>
      <c r="K256" s="1"/>
      <c r="L256" s="1"/>
      <c r="M256" s="1"/>
    </row>
  </sheetData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70"/>
  <sheetViews>
    <sheetView topLeftCell="B1" workbookViewId="0">
      <selection sqref="A1:H1"/>
    </sheetView>
  </sheetViews>
  <sheetFormatPr baseColWidth="10" defaultColWidth="8.83203125" defaultRowHeight="15" x14ac:dyDescent="0.2"/>
  <cols>
    <col min="1" max="1" width="52.5" customWidth="1"/>
    <col min="2" max="2" width="9.5" customWidth="1"/>
    <col min="3" max="3" width="12" customWidth="1"/>
    <col min="4" max="4" width="18" customWidth="1"/>
    <col min="5" max="5" width="40.5" customWidth="1"/>
    <col min="6" max="6" width="7.6640625" customWidth="1"/>
    <col min="7" max="7" width="57.5" customWidth="1"/>
    <col min="8" max="8" width="10.33203125" customWidth="1"/>
  </cols>
  <sheetData>
    <row r="1" spans="1:8" ht="18" x14ac:dyDescent="0.2">
      <c r="A1" s="336" t="s">
        <v>64</v>
      </c>
      <c r="B1" s="335"/>
      <c r="C1" s="335"/>
      <c r="D1" s="335"/>
      <c r="E1" s="335"/>
      <c r="F1" s="335"/>
      <c r="G1" s="335"/>
      <c r="H1" s="335"/>
    </row>
    <row r="2" spans="1:8" ht="18" x14ac:dyDescent="0.2">
      <c r="A2" s="336" t="s">
        <v>332</v>
      </c>
      <c r="B2" s="335"/>
      <c r="C2" s="335"/>
      <c r="D2" s="335"/>
      <c r="E2" s="335"/>
      <c r="F2" s="335"/>
      <c r="G2" s="335"/>
      <c r="H2" s="335"/>
    </row>
    <row r="3" spans="1:8" x14ac:dyDescent="0.2">
      <c r="A3" s="337" t="s">
        <v>2675</v>
      </c>
      <c r="B3" s="335"/>
      <c r="C3" s="335"/>
      <c r="D3" s="335"/>
      <c r="E3" s="335"/>
      <c r="F3" s="335"/>
      <c r="G3" s="335"/>
      <c r="H3" s="335"/>
    </row>
    <row r="5" spans="1:8" ht="27" x14ac:dyDescent="0.2">
      <c r="B5" s="128" t="s">
        <v>97</v>
      </c>
      <c r="C5" s="128" t="s">
        <v>333</v>
      </c>
      <c r="D5" s="128" t="s">
        <v>98</v>
      </c>
      <c r="E5" s="128" t="s">
        <v>99</v>
      </c>
      <c r="F5" s="128" t="s">
        <v>152</v>
      </c>
      <c r="G5" s="128" t="s">
        <v>334</v>
      </c>
      <c r="H5" s="128" t="s">
        <v>149</v>
      </c>
    </row>
    <row r="6" spans="1:8" x14ac:dyDescent="0.2">
      <c r="A6" s="129" t="s">
        <v>335</v>
      </c>
    </row>
    <row r="7" spans="1:8" x14ac:dyDescent="0.2">
      <c r="A7" s="129" t="s">
        <v>336</v>
      </c>
    </row>
    <row r="8" spans="1:8" x14ac:dyDescent="0.2">
      <c r="A8" s="129" t="s">
        <v>337</v>
      </c>
    </row>
    <row r="9" spans="1:8" x14ac:dyDescent="0.2">
      <c r="A9" s="129" t="s">
        <v>342</v>
      </c>
    </row>
    <row r="10" spans="1:8" x14ac:dyDescent="0.2">
      <c r="A10" s="129" t="s">
        <v>343</v>
      </c>
    </row>
    <row r="11" spans="1:8" ht="37" x14ac:dyDescent="0.2">
      <c r="B11" s="135" t="s">
        <v>821</v>
      </c>
      <c r="C11" s="135" t="s">
        <v>100</v>
      </c>
      <c r="D11" s="135" t="s">
        <v>943</v>
      </c>
      <c r="E11" s="135" t="s">
        <v>110</v>
      </c>
      <c r="F11" s="135" t="s">
        <v>7</v>
      </c>
      <c r="G11" s="135" t="s">
        <v>2497</v>
      </c>
      <c r="H11" s="131">
        <v>75</v>
      </c>
    </row>
    <row r="12" spans="1:8" ht="37" x14ac:dyDescent="0.2">
      <c r="B12" s="135" t="s">
        <v>821</v>
      </c>
      <c r="C12" s="135" t="s">
        <v>100</v>
      </c>
      <c r="D12" s="135" t="s">
        <v>951</v>
      </c>
      <c r="E12" s="135" t="s">
        <v>504</v>
      </c>
      <c r="F12" s="135" t="s">
        <v>7</v>
      </c>
      <c r="G12" s="135" t="s">
        <v>2497</v>
      </c>
      <c r="H12" s="131">
        <v>150</v>
      </c>
    </row>
    <row r="13" spans="1:8" ht="37" x14ac:dyDescent="0.2">
      <c r="B13" s="135" t="s">
        <v>821</v>
      </c>
      <c r="C13" s="135" t="s">
        <v>100</v>
      </c>
      <c r="D13" s="135" t="s">
        <v>948</v>
      </c>
      <c r="E13" s="135" t="s">
        <v>121</v>
      </c>
      <c r="F13" s="135" t="s">
        <v>7</v>
      </c>
      <c r="G13" s="135" t="s">
        <v>2497</v>
      </c>
      <c r="H13" s="131">
        <v>85</v>
      </c>
    </row>
    <row r="14" spans="1:8" ht="37" x14ac:dyDescent="0.2">
      <c r="B14" s="135" t="s">
        <v>821</v>
      </c>
      <c r="C14" s="135" t="s">
        <v>100</v>
      </c>
      <c r="D14" s="135" t="s">
        <v>931</v>
      </c>
      <c r="E14" s="135" t="s">
        <v>511</v>
      </c>
      <c r="F14" s="135" t="s">
        <v>7</v>
      </c>
      <c r="G14" s="135" t="s">
        <v>2497</v>
      </c>
      <c r="H14" s="131">
        <v>65</v>
      </c>
    </row>
    <row r="15" spans="1:8" x14ac:dyDescent="0.2">
      <c r="B15" s="135" t="s">
        <v>821</v>
      </c>
      <c r="C15" s="135" t="s">
        <v>100</v>
      </c>
      <c r="D15" s="135" t="s">
        <v>916</v>
      </c>
      <c r="E15" s="135" t="s">
        <v>140</v>
      </c>
      <c r="F15" s="135" t="s">
        <v>7</v>
      </c>
      <c r="G15" s="135" t="s">
        <v>2499</v>
      </c>
      <c r="H15" s="131">
        <v>-1570</v>
      </c>
    </row>
    <row r="16" spans="1:8" x14ac:dyDescent="0.2">
      <c r="B16" s="135" t="s">
        <v>821</v>
      </c>
      <c r="C16" s="135" t="s">
        <v>100</v>
      </c>
      <c r="D16" s="135" t="s">
        <v>925</v>
      </c>
      <c r="E16" s="135" t="s">
        <v>129</v>
      </c>
      <c r="F16" s="135" t="s">
        <v>7</v>
      </c>
      <c r="G16" s="135" t="s">
        <v>2498</v>
      </c>
      <c r="H16" s="131">
        <v>-582</v>
      </c>
    </row>
    <row r="17" spans="2:8" x14ac:dyDescent="0.2">
      <c r="B17" s="135" t="s">
        <v>821</v>
      </c>
      <c r="C17" s="135" t="s">
        <v>100</v>
      </c>
      <c r="D17" s="135" t="s">
        <v>921</v>
      </c>
      <c r="E17" s="135" t="s">
        <v>133</v>
      </c>
      <c r="F17" s="135" t="s">
        <v>7</v>
      </c>
      <c r="G17" s="135"/>
      <c r="H17" s="131">
        <v>-150</v>
      </c>
    </row>
    <row r="18" spans="2:8" ht="37" x14ac:dyDescent="0.2">
      <c r="B18" s="135" t="s">
        <v>821</v>
      </c>
      <c r="C18" s="135" t="s">
        <v>100</v>
      </c>
      <c r="D18" s="135" t="s">
        <v>938</v>
      </c>
      <c r="E18" s="135" t="s">
        <v>123</v>
      </c>
      <c r="F18" s="135" t="s">
        <v>7</v>
      </c>
      <c r="G18" s="135" t="s">
        <v>2497</v>
      </c>
      <c r="H18" s="131">
        <v>0</v>
      </c>
    </row>
    <row r="19" spans="2:8" ht="37" x14ac:dyDescent="0.2">
      <c r="B19" s="135" t="s">
        <v>821</v>
      </c>
      <c r="C19" s="135" t="s">
        <v>100</v>
      </c>
      <c r="D19" s="135" t="s">
        <v>936</v>
      </c>
      <c r="E19" s="135" t="s">
        <v>114</v>
      </c>
      <c r="F19" s="135" t="s">
        <v>7</v>
      </c>
      <c r="G19" s="135" t="s">
        <v>2497</v>
      </c>
      <c r="H19" s="131">
        <v>0</v>
      </c>
    </row>
    <row r="20" spans="2:8" ht="37" x14ac:dyDescent="0.2">
      <c r="B20" s="135" t="s">
        <v>821</v>
      </c>
      <c r="C20" s="135" t="s">
        <v>100</v>
      </c>
      <c r="D20" s="135" t="s">
        <v>919</v>
      </c>
      <c r="E20" s="135" t="s">
        <v>122</v>
      </c>
      <c r="F20" s="135" t="s">
        <v>7</v>
      </c>
      <c r="G20" s="135" t="s">
        <v>2497</v>
      </c>
      <c r="H20" s="131">
        <v>0</v>
      </c>
    </row>
    <row r="21" spans="2:8" ht="37" x14ac:dyDescent="0.2">
      <c r="B21" s="135" t="s">
        <v>821</v>
      </c>
      <c r="C21" s="135" t="s">
        <v>100</v>
      </c>
      <c r="D21" s="135" t="s">
        <v>924</v>
      </c>
      <c r="E21" s="135" t="s">
        <v>135</v>
      </c>
      <c r="F21" s="135" t="s">
        <v>7</v>
      </c>
      <c r="G21" s="135" t="s">
        <v>2497</v>
      </c>
      <c r="H21" s="131">
        <v>60</v>
      </c>
    </row>
    <row r="22" spans="2:8" ht="37" x14ac:dyDescent="0.2">
      <c r="B22" s="135" t="s">
        <v>821</v>
      </c>
      <c r="C22" s="135" t="s">
        <v>100</v>
      </c>
      <c r="D22" s="135" t="s">
        <v>935</v>
      </c>
      <c r="E22" s="135" t="s">
        <v>106</v>
      </c>
      <c r="F22" s="135" t="s">
        <v>7</v>
      </c>
      <c r="G22" s="135" t="s">
        <v>2497</v>
      </c>
      <c r="H22" s="131">
        <v>28891</v>
      </c>
    </row>
    <row r="23" spans="2:8" ht="37" x14ac:dyDescent="0.2">
      <c r="B23" s="135" t="s">
        <v>821</v>
      </c>
      <c r="C23" s="135" t="s">
        <v>100</v>
      </c>
      <c r="D23" s="135" t="s">
        <v>922</v>
      </c>
      <c r="E23" s="135" t="s">
        <v>113</v>
      </c>
      <c r="F23" s="135" t="s">
        <v>7</v>
      </c>
      <c r="G23" s="135" t="s">
        <v>2497</v>
      </c>
      <c r="H23" s="131">
        <v>26980</v>
      </c>
    </row>
    <row r="24" spans="2:8" ht="37" x14ac:dyDescent="0.2">
      <c r="B24" s="135" t="s">
        <v>821</v>
      </c>
      <c r="C24" s="135" t="s">
        <v>100</v>
      </c>
      <c r="D24" s="135" t="s">
        <v>940</v>
      </c>
      <c r="E24" s="135" t="s">
        <v>120</v>
      </c>
      <c r="F24" s="135" t="s">
        <v>7</v>
      </c>
      <c r="G24" s="135" t="s">
        <v>2497</v>
      </c>
      <c r="H24" s="131">
        <v>11135</v>
      </c>
    </row>
    <row r="25" spans="2:8" ht="37" x14ac:dyDescent="0.2">
      <c r="B25" s="135" t="s">
        <v>821</v>
      </c>
      <c r="C25" s="135" t="s">
        <v>100</v>
      </c>
      <c r="D25" s="135" t="s">
        <v>910</v>
      </c>
      <c r="E25" s="135" t="s">
        <v>111</v>
      </c>
      <c r="F25" s="135" t="s">
        <v>7</v>
      </c>
      <c r="G25" s="135" t="s">
        <v>2497</v>
      </c>
      <c r="H25" s="131">
        <v>7309</v>
      </c>
    </row>
    <row r="26" spans="2:8" ht="37" x14ac:dyDescent="0.2">
      <c r="B26" s="135" t="s">
        <v>821</v>
      </c>
      <c r="C26" s="135" t="s">
        <v>100</v>
      </c>
      <c r="D26" s="135" t="s">
        <v>937</v>
      </c>
      <c r="E26" s="135" t="s">
        <v>144</v>
      </c>
      <c r="F26" s="135" t="s">
        <v>7</v>
      </c>
      <c r="G26" s="135" t="s">
        <v>2497</v>
      </c>
      <c r="H26" s="131">
        <v>7030</v>
      </c>
    </row>
    <row r="27" spans="2:8" ht="37" x14ac:dyDescent="0.2">
      <c r="B27" s="135" t="s">
        <v>821</v>
      </c>
      <c r="C27" s="135" t="s">
        <v>100</v>
      </c>
      <c r="D27" s="135" t="s">
        <v>923</v>
      </c>
      <c r="E27" s="135" t="s">
        <v>134</v>
      </c>
      <c r="F27" s="135" t="s">
        <v>7</v>
      </c>
      <c r="G27" s="135" t="s">
        <v>2497</v>
      </c>
      <c r="H27" s="131">
        <v>6310</v>
      </c>
    </row>
    <row r="28" spans="2:8" ht="37" x14ac:dyDescent="0.2">
      <c r="B28" s="135" t="s">
        <v>821</v>
      </c>
      <c r="C28" s="135" t="s">
        <v>100</v>
      </c>
      <c r="D28" s="135" t="s">
        <v>941</v>
      </c>
      <c r="E28" s="135" t="s">
        <v>132</v>
      </c>
      <c r="F28" s="135" t="s">
        <v>7</v>
      </c>
      <c r="G28" s="135" t="s">
        <v>2497</v>
      </c>
      <c r="H28" s="131">
        <v>6115</v>
      </c>
    </row>
    <row r="29" spans="2:8" ht="37" x14ac:dyDescent="0.2">
      <c r="B29" s="135" t="s">
        <v>821</v>
      </c>
      <c r="C29" s="135" t="s">
        <v>100</v>
      </c>
      <c r="D29" s="135" t="s">
        <v>905</v>
      </c>
      <c r="E29" s="135" t="s">
        <v>138</v>
      </c>
      <c r="F29" s="135" t="s">
        <v>7</v>
      </c>
      <c r="G29" s="135" t="s">
        <v>2497</v>
      </c>
      <c r="H29" s="131">
        <v>5550</v>
      </c>
    </row>
    <row r="30" spans="2:8" ht="37" x14ac:dyDescent="0.2">
      <c r="B30" s="135" t="s">
        <v>821</v>
      </c>
      <c r="C30" s="135" t="s">
        <v>100</v>
      </c>
      <c r="D30" s="135" t="s">
        <v>926</v>
      </c>
      <c r="E30" s="135" t="s">
        <v>103</v>
      </c>
      <c r="F30" s="135" t="s">
        <v>7</v>
      </c>
      <c r="G30" s="135" t="s">
        <v>2497</v>
      </c>
      <c r="H30" s="131">
        <v>5200</v>
      </c>
    </row>
    <row r="31" spans="2:8" ht="37" x14ac:dyDescent="0.2">
      <c r="B31" s="135" t="s">
        <v>821</v>
      </c>
      <c r="C31" s="135" t="s">
        <v>100</v>
      </c>
      <c r="D31" s="135" t="s">
        <v>920</v>
      </c>
      <c r="E31" s="135" t="s">
        <v>116</v>
      </c>
      <c r="F31" s="135" t="s">
        <v>7</v>
      </c>
      <c r="G31" s="135" t="s">
        <v>2497</v>
      </c>
      <c r="H31" s="131">
        <v>4645</v>
      </c>
    </row>
    <row r="32" spans="2:8" ht="37" x14ac:dyDescent="0.2">
      <c r="B32" s="135" t="s">
        <v>821</v>
      </c>
      <c r="C32" s="135" t="s">
        <v>100</v>
      </c>
      <c r="D32" s="135" t="s">
        <v>934</v>
      </c>
      <c r="E32" s="135" t="s">
        <v>142</v>
      </c>
      <c r="F32" s="135" t="s">
        <v>7</v>
      </c>
      <c r="G32" s="135" t="s">
        <v>2497</v>
      </c>
      <c r="H32" s="131">
        <v>4405</v>
      </c>
    </row>
    <row r="33" spans="2:8" ht="37" x14ac:dyDescent="0.2">
      <c r="B33" s="135" t="s">
        <v>821</v>
      </c>
      <c r="C33" s="135" t="s">
        <v>100</v>
      </c>
      <c r="D33" s="135" t="s">
        <v>913</v>
      </c>
      <c r="E33" s="135" t="s">
        <v>126</v>
      </c>
      <c r="F33" s="135" t="s">
        <v>7</v>
      </c>
      <c r="G33" s="135" t="s">
        <v>2497</v>
      </c>
      <c r="H33" s="131">
        <v>4320</v>
      </c>
    </row>
    <row r="34" spans="2:8" ht="37" x14ac:dyDescent="0.2">
      <c r="B34" s="135" t="s">
        <v>821</v>
      </c>
      <c r="C34" s="135" t="s">
        <v>100</v>
      </c>
      <c r="D34" s="135" t="s">
        <v>949</v>
      </c>
      <c r="E34" s="135" t="s">
        <v>136</v>
      </c>
      <c r="F34" s="135" t="s">
        <v>7</v>
      </c>
      <c r="G34" s="135" t="s">
        <v>2497</v>
      </c>
      <c r="H34" s="131">
        <v>3810</v>
      </c>
    </row>
    <row r="35" spans="2:8" ht="37" x14ac:dyDescent="0.2">
      <c r="B35" s="135" t="s">
        <v>821</v>
      </c>
      <c r="C35" s="135" t="s">
        <v>100</v>
      </c>
      <c r="D35" s="135" t="s">
        <v>942</v>
      </c>
      <c r="E35" s="135" t="s">
        <v>112</v>
      </c>
      <c r="F35" s="135" t="s">
        <v>7</v>
      </c>
      <c r="G35" s="135" t="s">
        <v>2497</v>
      </c>
      <c r="H35" s="131">
        <v>3105</v>
      </c>
    </row>
    <row r="36" spans="2:8" ht="37" x14ac:dyDescent="0.2">
      <c r="B36" s="135" t="s">
        <v>821</v>
      </c>
      <c r="C36" s="135" t="s">
        <v>100</v>
      </c>
      <c r="D36" s="135" t="s">
        <v>912</v>
      </c>
      <c r="E36" s="135" t="s">
        <v>130</v>
      </c>
      <c r="F36" s="135" t="s">
        <v>7</v>
      </c>
      <c r="G36" s="135" t="s">
        <v>2497</v>
      </c>
      <c r="H36" s="131">
        <v>2705</v>
      </c>
    </row>
    <row r="37" spans="2:8" ht="37" x14ac:dyDescent="0.2">
      <c r="B37" s="135" t="s">
        <v>821</v>
      </c>
      <c r="C37" s="135" t="s">
        <v>100</v>
      </c>
      <c r="D37" s="135" t="s">
        <v>945</v>
      </c>
      <c r="E37" s="135" t="s">
        <v>117</v>
      </c>
      <c r="F37" s="135" t="s">
        <v>7</v>
      </c>
      <c r="G37" s="135" t="s">
        <v>2497</v>
      </c>
      <c r="H37" s="131">
        <v>2680</v>
      </c>
    </row>
    <row r="38" spans="2:8" ht="37" x14ac:dyDescent="0.2">
      <c r="B38" s="135" t="s">
        <v>821</v>
      </c>
      <c r="C38" s="135" t="s">
        <v>100</v>
      </c>
      <c r="D38" s="135" t="s">
        <v>915</v>
      </c>
      <c r="E38" s="135" t="s">
        <v>131</v>
      </c>
      <c r="F38" s="135" t="s">
        <v>7</v>
      </c>
      <c r="G38" s="135" t="s">
        <v>2497</v>
      </c>
      <c r="H38" s="131">
        <v>2540</v>
      </c>
    </row>
    <row r="39" spans="2:8" ht="37" x14ac:dyDescent="0.2">
      <c r="B39" s="135" t="s">
        <v>821</v>
      </c>
      <c r="C39" s="135" t="s">
        <v>100</v>
      </c>
      <c r="D39" s="135" t="s">
        <v>929</v>
      </c>
      <c r="E39" s="135" t="s">
        <v>124</v>
      </c>
      <c r="F39" s="135" t="s">
        <v>7</v>
      </c>
      <c r="G39" s="135" t="s">
        <v>2497</v>
      </c>
      <c r="H39" s="131">
        <v>1900</v>
      </c>
    </row>
    <row r="40" spans="2:8" ht="37" x14ac:dyDescent="0.2">
      <c r="B40" s="135" t="s">
        <v>821</v>
      </c>
      <c r="C40" s="135" t="s">
        <v>100</v>
      </c>
      <c r="D40" s="135" t="s">
        <v>904</v>
      </c>
      <c r="E40" s="135" t="s">
        <v>128</v>
      </c>
      <c r="F40" s="135" t="s">
        <v>7</v>
      </c>
      <c r="G40" s="135" t="s">
        <v>2497</v>
      </c>
      <c r="H40" s="131">
        <v>1850</v>
      </c>
    </row>
    <row r="41" spans="2:8" ht="37" x14ac:dyDescent="0.2">
      <c r="B41" s="135" t="s">
        <v>821</v>
      </c>
      <c r="C41" s="135" t="s">
        <v>100</v>
      </c>
      <c r="D41" s="135" t="s">
        <v>906</v>
      </c>
      <c r="E41" s="135" t="s">
        <v>145</v>
      </c>
      <c r="F41" s="135" t="s">
        <v>7</v>
      </c>
      <c r="G41" s="135" t="s">
        <v>2497</v>
      </c>
      <c r="H41" s="131">
        <v>1680</v>
      </c>
    </row>
    <row r="42" spans="2:8" ht="37" x14ac:dyDescent="0.2">
      <c r="B42" s="135" t="s">
        <v>821</v>
      </c>
      <c r="C42" s="135" t="s">
        <v>100</v>
      </c>
      <c r="D42" s="135" t="s">
        <v>916</v>
      </c>
      <c r="E42" s="135" t="s">
        <v>140</v>
      </c>
      <c r="F42" s="135" t="s">
        <v>7</v>
      </c>
      <c r="G42" s="135" t="s">
        <v>2497</v>
      </c>
      <c r="H42" s="131">
        <v>1570</v>
      </c>
    </row>
    <row r="43" spans="2:8" ht="37" x14ac:dyDescent="0.2">
      <c r="B43" s="135" t="s">
        <v>821</v>
      </c>
      <c r="C43" s="135" t="s">
        <v>100</v>
      </c>
      <c r="D43" s="135" t="s">
        <v>933</v>
      </c>
      <c r="E43" s="135" t="s">
        <v>141</v>
      </c>
      <c r="F43" s="135" t="s">
        <v>7</v>
      </c>
      <c r="G43" s="135" t="s">
        <v>2497</v>
      </c>
      <c r="H43" s="131">
        <v>1505</v>
      </c>
    </row>
    <row r="44" spans="2:8" ht="37" x14ac:dyDescent="0.2">
      <c r="B44" s="135" t="s">
        <v>821</v>
      </c>
      <c r="C44" s="135" t="s">
        <v>100</v>
      </c>
      <c r="D44" s="135" t="s">
        <v>944</v>
      </c>
      <c r="E44" s="135" t="s">
        <v>146</v>
      </c>
      <c r="F44" s="135" t="s">
        <v>7</v>
      </c>
      <c r="G44" s="135" t="s">
        <v>2497</v>
      </c>
      <c r="H44" s="131">
        <v>1105</v>
      </c>
    </row>
    <row r="45" spans="2:8" ht="37" x14ac:dyDescent="0.2">
      <c r="B45" s="135" t="s">
        <v>821</v>
      </c>
      <c r="C45" s="135" t="s">
        <v>100</v>
      </c>
      <c r="D45" s="135" t="s">
        <v>908</v>
      </c>
      <c r="E45" s="135" t="s">
        <v>115</v>
      </c>
      <c r="F45" s="135" t="s">
        <v>7</v>
      </c>
      <c r="G45" s="135" t="s">
        <v>2497</v>
      </c>
      <c r="H45" s="131">
        <v>970</v>
      </c>
    </row>
    <row r="46" spans="2:8" ht="37" x14ac:dyDescent="0.2">
      <c r="B46" s="135" t="s">
        <v>821</v>
      </c>
      <c r="C46" s="135" t="s">
        <v>100</v>
      </c>
      <c r="D46" s="135" t="s">
        <v>925</v>
      </c>
      <c r="E46" s="135" t="s">
        <v>129</v>
      </c>
      <c r="F46" s="135" t="s">
        <v>7</v>
      </c>
      <c r="G46" s="135" t="s">
        <v>2497</v>
      </c>
      <c r="H46" s="131">
        <v>930</v>
      </c>
    </row>
    <row r="47" spans="2:8" ht="37" x14ac:dyDescent="0.2">
      <c r="B47" s="135" t="s">
        <v>821</v>
      </c>
      <c r="C47" s="135" t="s">
        <v>100</v>
      </c>
      <c r="D47" s="135" t="s">
        <v>928</v>
      </c>
      <c r="E47" s="135" t="s">
        <v>109</v>
      </c>
      <c r="F47" s="135" t="s">
        <v>7</v>
      </c>
      <c r="G47" s="135" t="s">
        <v>2497</v>
      </c>
      <c r="H47" s="131">
        <v>800</v>
      </c>
    </row>
    <row r="48" spans="2:8" ht="37" x14ac:dyDescent="0.2">
      <c r="B48" s="135" t="s">
        <v>821</v>
      </c>
      <c r="C48" s="135" t="s">
        <v>100</v>
      </c>
      <c r="D48" s="135" t="s">
        <v>917</v>
      </c>
      <c r="E48" s="135" t="s">
        <v>143</v>
      </c>
      <c r="F48" s="135" t="s">
        <v>7</v>
      </c>
      <c r="G48" s="135" t="s">
        <v>2497</v>
      </c>
      <c r="H48" s="131">
        <v>660</v>
      </c>
    </row>
    <row r="49" spans="2:8" ht="37" x14ac:dyDescent="0.2">
      <c r="B49" s="135" t="s">
        <v>821</v>
      </c>
      <c r="C49" s="135" t="s">
        <v>100</v>
      </c>
      <c r="D49" s="135" t="s">
        <v>932</v>
      </c>
      <c r="E49" s="135" t="s">
        <v>104</v>
      </c>
      <c r="F49" s="135" t="s">
        <v>7</v>
      </c>
      <c r="G49" s="135" t="s">
        <v>2497</v>
      </c>
      <c r="H49" s="131">
        <v>655</v>
      </c>
    </row>
    <row r="50" spans="2:8" ht="37" x14ac:dyDescent="0.2">
      <c r="B50" s="135" t="s">
        <v>821</v>
      </c>
      <c r="C50" s="135" t="s">
        <v>100</v>
      </c>
      <c r="D50" s="135" t="s">
        <v>909</v>
      </c>
      <c r="E50" s="135" t="s">
        <v>108</v>
      </c>
      <c r="F50" s="135" t="s">
        <v>7</v>
      </c>
      <c r="G50" s="135" t="s">
        <v>2497</v>
      </c>
      <c r="H50" s="131">
        <v>605</v>
      </c>
    </row>
    <row r="51" spans="2:8" ht="37" x14ac:dyDescent="0.2">
      <c r="B51" s="135" t="s">
        <v>821</v>
      </c>
      <c r="C51" s="135" t="s">
        <v>100</v>
      </c>
      <c r="D51" s="135" t="s">
        <v>946</v>
      </c>
      <c r="E51" s="135" t="s">
        <v>119</v>
      </c>
      <c r="F51" s="135" t="s">
        <v>7</v>
      </c>
      <c r="G51" s="135" t="s">
        <v>2497</v>
      </c>
      <c r="H51" s="131">
        <v>505</v>
      </c>
    </row>
    <row r="52" spans="2:8" ht="37" x14ac:dyDescent="0.2">
      <c r="B52" s="135" t="s">
        <v>821</v>
      </c>
      <c r="C52" s="135" t="s">
        <v>100</v>
      </c>
      <c r="D52" s="135" t="s">
        <v>914</v>
      </c>
      <c r="E52" s="135" t="s">
        <v>751</v>
      </c>
      <c r="F52" s="135" t="s">
        <v>7</v>
      </c>
      <c r="G52" s="135" t="s">
        <v>2497</v>
      </c>
      <c r="H52" s="131">
        <v>500</v>
      </c>
    </row>
    <row r="53" spans="2:8" ht="37" x14ac:dyDescent="0.2">
      <c r="B53" s="135" t="s">
        <v>821</v>
      </c>
      <c r="C53" s="135" t="s">
        <v>100</v>
      </c>
      <c r="D53" s="135" t="s">
        <v>950</v>
      </c>
      <c r="E53" s="135" t="s">
        <v>127</v>
      </c>
      <c r="F53" s="135" t="s">
        <v>7</v>
      </c>
      <c r="G53" s="135" t="s">
        <v>2497</v>
      </c>
      <c r="H53" s="131">
        <v>355</v>
      </c>
    </row>
    <row r="54" spans="2:8" ht="37" x14ac:dyDescent="0.2">
      <c r="B54" s="135" t="s">
        <v>821</v>
      </c>
      <c r="C54" s="135" t="s">
        <v>100</v>
      </c>
      <c r="D54" s="135" t="s">
        <v>911</v>
      </c>
      <c r="E54" s="135" t="s">
        <v>118</v>
      </c>
      <c r="F54" s="135" t="s">
        <v>7</v>
      </c>
      <c r="G54" s="135" t="s">
        <v>2497</v>
      </c>
      <c r="H54" s="131">
        <v>262.5</v>
      </c>
    </row>
    <row r="55" spans="2:8" ht="37" x14ac:dyDescent="0.2">
      <c r="B55" s="135" t="s">
        <v>821</v>
      </c>
      <c r="C55" s="135" t="s">
        <v>100</v>
      </c>
      <c r="D55" s="135" t="s">
        <v>930</v>
      </c>
      <c r="E55" s="135" t="s">
        <v>137</v>
      </c>
      <c r="F55" s="135" t="s">
        <v>7</v>
      </c>
      <c r="G55" s="135" t="s">
        <v>2497</v>
      </c>
      <c r="H55" s="131">
        <v>260</v>
      </c>
    </row>
    <row r="56" spans="2:8" ht="37" x14ac:dyDescent="0.2">
      <c r="B56" s="135" t="s">
        <v>821</v>
      </c>
      <c r="C56" s="135" t="s">
        <v>100</v>
      </c>
      <c r="D56" s="135" t="s">
        <v>939</v>
      </c>
      <c r="E56" s="135" t="s">
        <v>125</v>
      </c>
      <c r="F56" s="135" t="s">
        <v>7</v>
      </c>
      <c r="G56" s="135" t="s">
        <v>2497</v>
      </c>
      <c r="H56" s="131">
        <v>255</v>
      </c>
    </row>
    <row r="57" spans="2:8" ht="37" x14ac:dyDescent="0.2">
      <c r="B57" s="135" t="s">
        <v>821</v>
      </c>
      <c r="C57" s="135" t="s">
        <v>100</v>
      </c>
      <c r="D57" s="135" t="s">
        <v>947</v>
      </c>
      <c r="E57" s="135" t="s">
        <v>105</v>
      </c>
      <c r="F57" s="135" t="s">
        <v>7</v>
      </c>
      <c r="G57" s="135" t="s">
        <v>2497</v>
      </c>
      <c r="H57" s="131">
        <v>220</v>
      </c>
    </row>
    <row r="58" spans="2:8" ht="37" x14ac:dyDescent="0.2">
      <c r="B58" s="135" t="s">
        <v>821</v>
      </c>
      <c r="C58" s="135" t="s">
        <v>100</v>
      </c>
      <c r="D58" s="135" t="s">
        <v>907</v>
      </c>
      <c r="E58" s="135" t="s">
        <v>531</v>
      </c>
      <c r="F58" s="135" t="s">
        <v>7</v>
      </c>
      <c r="G58" s="135" t="s">
        <v>2497</v>
      </c>
      <c r="H58" s="131">
        <v>210</v>
      </c>
    </row>
    <row r="59" spans="2:8" ht="37" x14ac:dyDescent="0.2">
      <c r="B59" s="135" t="s">
        <v>821</v>
      </c>
      <c r="C59" s="135" t="s">
        <v>100</v>
      </c>
      <c r="D59" s="135" t="s">
        <v>918</v>
      </c>
      <c r="E59" s="135" t="s">
        <v>107</v>
      </c>
      <c r="F59" s="135" t="s">
        <v>7</v>
      </c>
      <c r="G59" s="135" t="s">
        <v>2497</v>
      </c>
      <c r="H59" s="131">
        <v>205</v>
      </c>
    </row>
    <row r="60" spans="2:8" ht="37" x14ac:dyDescent="0.2">
      <c r="B60" s="135" t="s">
        <v>821</v>
      </c>
      <c r="C60" s="135" t="s">
        <v>100</v>
      </c>
      <c r="D60" s="135" t="s">
        <v>927</v>
      </c>
      <c r="E60" s="135" t="s">
        <v>1227</v>
      </c>
      <c r="F60" s="135" t="s">
        <v>7</v>
      </c>
      <c r="G60" s="135" t="s">
        <v>2497</v>
      </c>
      <c r="H60" s="131">
        <v>200</v>
      </c>
    </row>
    <row r="61" spans="2:8" ht="37" x14ac:dyDescent="0.2">
      <c r="B61" s="135" t="s">
        <v>821</v>
      </c>
      <c r="C61" s="135" t="s">
        <v>100</v>
      </c>
      <c r="D61" s="135" t="s">
        <v>921</v>
      </c>
      <c r="E61" s="135" t="s">
        <v>133</v>
      </c>
      <c r="F61" s="135" t="s">
        <v>7</v>
      </c>
      <c r="G61" s="135" t="s">
        <v>2497</v>
      </c>
      <c r="H61" s="131">
        <v>150</v>
      </c>
    </row>
    <row r="62" spans="2:8" ht="37" x14ac:dyDescent="0.2">
      <c r="B62" s="135" t="s">
        <v>824</v>
      </c>
      <c r="C62" s="135" t="s">
        <v>100</v>
      </c>
      <c r="D62" s="135" t="s">
        <v>953</v>
      </c>
      <c r="E62" s="135" t="s">
        <v>139</v>
      </c>
      <c r="F62" s="135" t="s">
        <v>7</v>
      </c>
      <c r="G62" s="135" t="s">
        <v>2497</v>
      </c>
      <c r="H62" s="131">
        <v>110</v>
      </c>
    </row>
    <row r="63" spans="2:8" ht="37" x14ac:dyDescent="0.2">
      <c r="B63" s="135" t="s">
        <v>824</v>
      </c>
      <c r="C63" s="135" t="s">
        <v>100</v>
      </c>
      <c r="D63" s="135" t="s">
        <v>952</v>
      </c>
      <c r="E63" s="135" t="s">
        <v>532</v>
      </c>
      <c r="F63" s="135" t="s">
        <v>7</v>
      </c>
      <c r="G63" s="135" t="s">
        <v>2497</v>
      </c>
      <c r="H63" s="131">
        <v>140</v>
      </c>
    </row>
    <row r="64" spans="2:8" x14ac:dyDescent="0.2">
      <c r="B64" s="135" t="s">
        <v>2031</v>
      </c>
      <c r="C64" s="135" t="s">
        <v>100</v>
      </c>
      <c r="D64" s="135" t="s">
        <v>2032</v>
      </c>
      <c r="E64" s="135" t="s">
        <v>129</v>
      </c>
      <c r="F64" s="135" t="s">
        <v>7</v>
      </c>
      <c r="G64" s="135" t="s">
        <v>2500</v>
      </c>
      <c r="H64" s="131">
        <v>606</v>
      </c>
    </row>
    <row r="65" spans="1:8" x14ac:dyDescent="0.2">
      <c r="B65" s="135" t="s">
        <v>1830</v>
      </c>
      <c r="C65" s="135" t="s">
        <v>100</v>
      </c>
      <c r="D65" s="135" t="s">
        <v>2033</v>
      </c>
      <c r="E65" s="135" t="s">
        <v>129</v>
      </c>
      <c r="F65" s="135" t="s">
        <v>7</v>
      </c>
      <c r="G65" s="135" t="s">
        <v>2501</v>
      </c>
      <c r="H65" s="131">
        <v>606</v>
      </c>
    </row>
    <row r="66" spans="1:8" x14ac:dyDescent="0.2">
      <c r="A66" s="129" t="s">
        <v>344</v>
      </c>
      <c r="H66" s="132">
        <v>149677.5</v>
      </c>
    </row>
    <row r="67" spans="1:8" x14ac:dyDescent="0.2">
      <c r="A67" s="129" t="s">
        <v>345</v>
      </c>
    </row>
    <row r="68" spans="1:8" x14ac:dyDescent="0.2">
      <c r="B68" s="135" t="s">
        <v>824</v>
      </c>
      <c r="C68" s="135" t="s">
        <v>339</v>
      </c>
      <c r="D68" s="135" t="s">
        <v>892</v>
      </c>
      <c r="E68" s="135"/>
      <c r="F68" s="135" t="s">
        <v>7</v>
      </c>
      <c r="G68" s="135" t="s">
        <v>673</v>
      </c>
      <c r="H68" s="131">
        <v>-147255.91</v>
      </c>
    </row>
    <row r="69" spans="1:8" x14ac:dyDescent="0.2">
      <c r="B69" s="135" t="s">
        <v>824</v>
      </c>
      <c r="C69" s="135" t="s">
        <v>339</v>
      </c>
      <c r="D69" s="135" t="s">
        <v>1083</v>
      </c>
      <c r="E69" s="135"/>
      <c r="F69" s="135" t="s">
        <v>7</v>
      </c>
      <c r="G69" s="135" t="s">
        <v>673</v>
      </c>
      <c r="H69" s="131">
        <v>147255.91</v>
      </c>
    </row>
    <row r="70" spans="1:8" x14ac:dyDescent="0.2">
      <c r="B70" s="135" t="s">
        <v>972</v>
      </c>
      <c r="C70" s="135" t="s">
        <v>339</v>
      </c>
      <c r="D70" s="135" t="s">
        <v>1084</v>
      </c>
      <c r="E70" s="135"/>
      <c r="F70" s="135" t="s">
        <v>7</v>
      </c>
      <c r="G70" s="135" t="s">
        <v>673</v>
      </c>
      <c r="H70" s="131">
        <v>-136591.99</v>
      </c>
    </row>
    <row r="71" spans="1:8" x14ac:dyDescent="0.2">
      <c r="B71" s="135" t="s">
        <v>972</v>
      </c>
      <c r="C71" s="135" t="s">
        <v>339</v>
      </c>
      <c r="D71" s="135" t="s">
        <v>1228</v>
      </c>
      <c r="E71" s="135"/>
      <c r="F71" s="135" t="s">
        <v>7</v>
      </c>
      <c r="G71" s="135" t="s">
        <v>673</v>
      </c>
      <c r="H71" s="131">
        <v>136591.99</v>
      </c>
    </row>
    <row r="72" spans="1:8" x14ac:dyDescent="0.2">
      <c r="B72" s="135" t="s">
        <v>1168</v>
      </c>
      <c r="C72" s="135" t="s">
        <v>339</v>
      </c>
      <c r="D72" s="135" t="s">
        <v>1229</v>
      </c>
      <c r="E72" s="135"/>
      <c r="F72" s="135" t="s">
        <v>7</v>
      </c>
      <c r="G72" s="135" t="s">
        <v>673</v>
      </c>
      <c r="H72" s="131">
        <v>-122724.06</v>
      </c>
    </row>
    <row r="73" spans="1:8" x14ac:dyDescent="0.2">
      <c r="B73" s="135" t="s">
        <v>1168</v>
      </c>
      <c r="C73" s="135" t="s">
        <v>339</v>
      </c>
      <c r="D73" s="135" t="s">
        <v>1419</v>
      </c>
      <c r="E73" s="135"/>
      <c r="F73" s="135" t="s">
        <v>7</v>
      </c>
      <c r="G73" s="135" t="s">
        <v>673</v>
      </c>
      <c r="H73" s="131">
        <v>122724.06</v>
      </c>
    </row>
    <row r="74" spans="1:8" x14ac:dyDescent="0.2">
      <c r="B74" s="135" t="s">
        <v>1369</v>
      </c>
      <c r="C74" s="135" t="s">
        <v>339</v>
      </c>
      <c r="D74" s="135" t="s">
        <v>1573</v>
      </c>
      <c r="E74" s="135"/>
      <c r="F74" s="135" t="s">
        <v>7</v>
      </c>
      <c r="G74" s="135" t="s">
        <v>673</v>
      </c>
      <c r="H74" s="131">
        <v>109201.96</v>
      </c>
    </row>
    <row r="75" spans="1:8" x14ac:dyDescent="0.2">
      <c r="B75" s="135" t="s">
        <v>1369</v>
      </c>
      <c r="C75" s="135" t="s">
        <v>339</v>
      </c>
      <c r="D75" s="135" t="s">
        <v>1420</v>
      </c>
      <c r="E75" s="135"/>
      <c r="F75" s="135" t="s">
        <v>7</v>
      </c>
      <c r="G75" s="135" t="s">
        <v>673</v>
      </c>
      <c r="H75" s="131">
        <v>-109201.96</v>
      </c>
    </row>
    <row r="76" spans="1:8" x14ac:dyDescent="0.2">
      <c r="B76" s="135" t="s">
        <v>1548</v>
      </c>
      <c r="C76" s="135" t="s">
        <v>339</v>
      </c>
      <c r="D76" s="135" t="s">
        <v>1574</v>
      </c>
      <c r="E76" s="135"/>
      <c r="F76" s="135" t="s">
        <v>7</v>
      </c>
      <c r="G76" s="135"/>
      <c r="H76" s="131">
        <v>-93282.45</v>
      </c>
    </row>
    <row r="77" spans="1:8" x14ac:dyDescent="0.2">
      <c r="B77" s="135" t="s">
        <v>1548</v>
      </c>
      <c r="C77" s="135" t="s">
        <v>339</v>
      </c>
      <c r="D77" s="135" t="s">
        <v>1700</v>
      </c>
      <c r="E77" s="135"/>
      <c r="F77" s="135" t="s">
        <v>7</v>
      </c>
      <c r="G77" s="135"/>
      <c r="H77" s="131">
        <v>93282.45</v>
      </c>
    </row>
    <row r="78" spans="1:8" x14ac:dyDescent="0.2">
      <c r="B78" s="135" t="s">
        <v>1624</v>
      </c>
      <c r="C78" s="135" t="s">
        <v>339</v>
      </c>
      <c r="D78" s="135" t="s">
        <v>1701</v>
      </c>
      <c r="E78" s="135"/>
      <c r="F78" s="135" t="s">
        <v>7</v>
      </c>
      <c r="G78" s="135" t="s">
        <v>673</v>
      </c>
      <c r="H78" s="131">
        <v>-82463.86</v>
      </c>
    </row>
    <row r="79" spans="1:8" x14ac:dyDescent="0.2">
      <c r="B79" s="135" t="s">
        <v>1624</v>
      </c>
      <c r="C79" s="135" t="s">
        <v>339</v>
      </c>
      <c r="D79" s="135" t="s">
        <v>2003</v>
      </c>
      <c r="E79" s="135"/>
      <c r="F79" s="135" t="s">
        <v>7</v>
      </c>
      <c r="G79" s="135" t="s">
        <v>673</v>
      </c>
      <c r="H79" s="131">
        <v>82463.86</v>
      </c>
    </row>
    <row r="80" spans="1:8" x14ac:dyDescent="0.2">
      <c r="B80" s="135" t="s">
        <v>1830</v>
      </c>
      <c r="C80" s="135" t="s">
        <v>339</v>
      </c>
      <c r="D80" s="135" t="s">
        <v>2004</v>
      </c>
      <c r="E80" s="135"/>
      <c r="F80" s="135" t="s">
        <v>7</v>
      </c>
      <c r="G80" s="135" t="s">
        <v>673</v>
      </c>
      <c r="H80" s="131">
        <v>-75622.27</v>
      </c>
    </row>
    <row r="81" spans="1:8" x14ac:dyDescent="0.2">
      <c r="B81" s="135" t="s">
        <v>1830</v>
      </c>
      <c r="C81" s="135" t="s">
        <v>339</v>
      </c>
      <c r="D81" s="135" t="s">
        <v>2197</v>
      </c>
      <c r="E81" s="135"/>
      <c r="F81" s="135" t="s">
        <v>7</v>
      </c>
      <c r="G81" s="135" t="s">
        <v>673</v>
      </c>
      <c r="H81" s="131">
        <v>75622.27</v>
      </c>
    </row>
    <row r="82" spans="1:8" x14ac:dyDescent="0.2">
      <c r="B82" s="135" t="s">
        <v>2081</v>
      </c>
      <c r="C82" s="135" t="s">
        <v>339</v>
      </c>
      <c r="D82" s="135" t="s">
        <v>2198</v>
      </c>
      <c r="E82" s="135"/>
      <c r="F82" s="135" t="s">
        <v>7</v>
      </c>
      <c r="G82" s="135" t="s">
        <v>673</v>
      </c>
      <c r="H82" s="131">
        <v>-64729.26</v>
      </c>
    </row>
    <row r="83" spans="1:8" x14ac:dyDescent="0.2">
      <c r="B83" s="135" t="s">
        <v>2081</v>
      </c>
      <c r="C83" s="135" t="s">
        <v>339</v>
      </c>
      <c r="D83" s="135" t="s">
        <v>2297</v>
      </c>
      <c r="E83" s="135"/>
      <c r="F83" s="135" t="s">
        <v>7</v>
      </c>
      <c r="G83" s="135" t="s">
        <v>673</v>
      </c>
      <c r="H83" s="131">
        <v>64729.26</v>
      </c>
    </row>
    <row r="84" spans="1:8" x14ac:dyDescent="0.2">
      <c r="B84" s="135" t="s">
        <v>2240</v>
      </c>
      <c r="C84" s="135" t="s">
        <v>339</v>
      </c>
      <c r="D84" s="135" t="s">
        <v>2298</v>
      </c>
      <c r="E84" s="135"/>
      <c r="F84" s="135" t="s">
        <v>7</v>
      </c>
      <c r="G84" s="135" t="s">
        <v>673</v>
      </c>
      <c r="H84" s="131">
        <v>-46663.33</v>
      </c>
    </row>
    <row r="85" spans="1:8" x14ac:dyDescent="0.2">
      <c r="B85" s="135" t="s">
        <v>2240</v>
      </c>
      <c r="C85" s="135" t="s">
        <v>339</v>
      </c>
      <c r="D85" s="135" t="s">
        <v>2437</v>
      </c>
      <c r="E85" s="135"/>
      <c r="F85" s="135" t="s">
        <v>7</v>
      </c>
      <c r="G85" s="135" t="s">
        <v>673</v>
      </c>
      <c r="H85" s="131">
        <v>46663.33</v>
      </c>
    </row>
    <row r="86" spans="1:8" x14ac:dyDescent="0.2">
      <c r="B86" s="135" t="s">
        <v>2370</v>
      </c>
      <c r="C86" s="135" t="s">
        <v>339</v>
      </c>
      <c r="D86" s="135" t="s">
        <v>2496</v>
      </c>
      <c r="E86" s="135"/>
      <c r="F86" s="135" t="s">
        <v>7</v>
      </c>
      <c r="G86" s="135" t="s">
        <v>673</v>
      </c>
      <c r="H86" s="131">
        <v>-41331.4</v>
      </c>
    </row>
    <row r="87" spans="1:8" x14ac:dyDescent="0.2">
      <c r="B87" s="135" t="s">
        <v>2370</v>
      </c>
      <c r="C87" s="135" t="s">
        <v>339</v>
      </c>
      <c r="D87" s="135" t="s">
        <v>2604</v>
      </c>
      <c r="E87" s="135"/>
      <c r="F87" s="135" t="s">
        <v>7</v>
      </c>
      <c r="G87" s="135" t="s">
        <v>673</v>
      </c>
      <c r="H87" s="131">
        <v>41331.4</v>
      </c>
    </row>
    <row r="88" spans="1:8" x14ac:dyDescent="0.2">
      <c r="B88" s="135" t="s">
        <v>2548</v>
      </c>
      <c r="C88" s="135" t="s">
        <v>339</v>
      </c>
      <c r="D88" s="135" t="s">
        <v>2605</v>
      </c>
      <c r="E88" s="135"/>
      <c r="F88" s="135" t="s">
        <v>7</v>
      </c>
      <c r="G88" s="135" t="s">
        <v>673</v>
      </c>
      <c r="H88" s="131">
        <v>-40427.65</v>
      </c>
    </row>
    <row r="89" spans="1:8" x14ac:dyDescent="0.2">
      <c r="B89" s="135" t="s">
        <v>2548</v>
      </c>
      <c r="C89" s="135" t="s">
        <v>339</v>
      </c>
      <c r="D89" s="135" t="s">
        <v>2792</v>
      </c>
      <c r="E89" s="135"/>
      <c r="F89" s="135" t="s">
        <v>7</v>
      </c>
      <c r="G89" s="135" t="s">
        <v>673</v>
      </c>
      <c r="H89" s="131">
        <v>40427.65</v>
      </c>
    </row>
    <row r="90" spans="1:8" x14ac:dyDescent="0.2">
      <c r="A90" s="129" t="s">
        <v>346</v>
      </c>
      <c r="H90" s="132">
        <v>0</v>
      </c>
    </row>
    <row r="91" spans="1:8" x14ac:dyDescent="0.2">
      <c r="A91" s="129" t="s">
        <v>347</v>
      </c>
      <c r="H91" s="132">
        <v>149677.5</v>
      </c>
    </row>
    <row r="92" spans="1:8" x14ac:dyDescent="0.2">
      <c r="A92" s="129" t="s">
        <v>348</v>
      </c>
      <c r="H92" s="132">
        <v>149677.5</v>
      </c>
    </row>
    <row r="93" spans="1:8" x14ac:dyDescent="0.2">
      <c r="A93" s="129" t="s">
        <v>352</v>
      </c>
      <c r="H93" s="132">
        <v>149677.5</v>
      </c>
    </row>
    <row r="94" spans="1:8" x14ac:dyDescent="0.2">
      <c r="A94" s="129" t="s">
        <v>353</v>
      </c>
    </row>
    <row r="95" spans="1:8" x14ac:dyDescent="0.2">
      <c r="A95" s="129" t="s">
        <v>363</v>
      </c>
    </row>
    <row r="96" spans="1:8" x14ac:dyDescent="0.2">
      <c r="A96" s="129" t="s">
        <v>463</v>
      </c>
    </row>
    <row r="97" spans="1:8" x14ac:dyDescent="0.2">
      <c r="A97" s="129" t="s">
        <v>1575</v>
      </c>
    </row>
    <row r="98" spans="1:8" ht="25" x14ac:dyDescent="0.2">
      <c r="B98" s="135" t="s">
        <v>1462</v>
      </c>
      <c r="C98" s="135" t="s">
        <v>547</v>
      </c>
      <c r="D98" s="135">
        <v>60326</v>
      </c>
      <c r="E98" s="135" t="s">
        <v>1576</v>
      </c>
      <c r="F98" s="135" t="s">
        <v>7</v>
      </c>
      <c r="G98" s="135" t="s">
        <v>2502</v>
      </c>
      <c r="H98" s="131">
        <v>500</v>
      </c>
    </row>
    <row r="99" spans="1:8" x14ac:dyDescent="0.2">
      <c r="B99" s="135" t="s">
        <v>1702</v>
      </c>
      <c r="C99" s="135" t="s">
        <v>547</v>
      </c>
      <c r="D99" s="135">
        <v>61224</v>
      </c>
      <c r="E99" s="135" t="s">
        <v>1704</v>
      </c>
      <c r="F99" s="135" t="s">
        <v>7</v>
      </c>
      <c r="G99" s="135" t="s">
        <v>2506</v>
      </c>
      <c r="H99" s="131">
        <v>500</v>
      </c>
    </row>
    <row r="100" spans="1:8" x14ac:dyDescent="0.2">
      <c r="B100" s="135" t="s">
        <v>1702</v>
      </c>
      <c r="C100" s="135" t="s">
        <v>547</v>
      </c>
      <c r="D100" s="135">
        <v>61224</v>
      </c>
      <c r="E100" s="135" t="s">
        <v>103</v>
      </c>
      <c r="F100" s="135" t="s">
        <v>7</v>
      </c>
      <c r="G100" s="135" t="s">
        <v>2507</v>
      </c>
      <c r="H100" s="131">
        <v>1050</v>
      </c>
    </row>
    <row r="101" spans="1:8" x14ac:dyDescent="0.2">
      <c r="B101" s="135" t="s">
        <v>1702</v>
      </c>
      <c r="C101" s="135" t="s">
        <v>547</v>
      </c>
      <c r="D101" s="135">
        <v>61224</v>
      </c>
      <c r="E101" s="135" t="s">
        <v>1705</v>
      </c>
      <c r="F101" s="135" t="s">
        <v>7</v>
      </c>
      <c r="G101" s="135" t="s">
        <v>2508</v>
      </c>
      <c r="H101" s="131">
        <v>1400</v>
      </c>
    </row>
    <row r="102" spans="1:8" x14ac:dyDescent="0.2">
      <c r="B102" s="135" t="s">
        <v>1702</v>
      </c>
      <c r="C102" s="135" t="s">
        <v>547</v>
      </c>
      <c r="D102" s="135">
        <v>61224</v>
      </c>
      <c r="E102" s="135" t="s">
        <v>1706</v>
      </c>
      <c r="F102" s="135" t="s">
        <v>7</v>
      </c>
      <c r="G102" s="135" t="s">
        <v>2509</v>
      </c>
      <c r="H102" s="131">
        <v>1500</v>
      </c>
    </row>
    <row r="103" spans="1:8" x14ac:dyDescent="0.2">
      <c r="B103" s="135" t="s">
        <v>1702</v>
      </c>
      <c r="C103" s="135" t="s">
        <v>547</v>
      </c>
      <c r="D103" s="135">
        <v>61225</v>
      </c>
      <c r="E103" s="135" t="s">
        <v>1707</v>
      </c>
      <c r="F103" s="135" t="s">
        <v>7</v>
      </c>
      <c r="G103" s="135" t="s">
        <v>2504</v>
      </c>
      <c r="H103" s="131">
        <v>2520</v>
      </c>
    </row>
    <row r="104" spans="1:8" x14ac:dyDescent="0.2">
      <c r="B104" s="135" t="s">
        <v>1702</v>
      </c>
      <c r="C104" s="135" t="s">
        <v>547</v>
      </c>
      <c r="D104" s="135">
        <v>61224</v>
      </c>
      <c r="E104" s="135" t="s">
        <v>1708</v>
      </c>
      <c r="F104" s="135" t="s">
        <v>7</v>
      </c>
      <c r="G104" s="135" t="s">
        <v>2503</v>
      </c>
      <c r="H104" s="131">
        <v>2520</v>
      </c>
    </row>
    <row r="105" spans="1:8" x14ac:dyDescent="0.2">
      <c r="B105" s="135" t="s">
        <v>1702</v>
      </c>
      <c r="C105" s="135" t="s">
        <v>547</v>
      </c>
      <c r="D105" s="135">
        <v>61224</v>
      </c>
      <c r="E105" s="135" t="s">
        <v>1709</v>
      </c>
      <c r="F105" s="135" t="s">
        <v>7</v>
      </c>
      <c r="G105" s="135" t="s">
        <v>2505</v>
      </c>
      <c r="H105" s="131">
        <v>2800</v>
      </c>
    </row>
    <row r="106" spans="1:8" x14ac:dyDescent="0.2">
      <c r="B106" s="135" t="s">
        <v>1702</v>
      </c>
      <c r="C106" s="135" t="s">
        <v>547</v>
      </c>
      <c r="D106" s="135">
        <v>61224</v>
      </c>
      <c r="E106" s="135" t="s">
        <v>1703</v>
      </c>
      <c r="F106" s="135" t="s">
        <v>7</v>
      </c>
      <c r="G106" s="135" t="s">
        <v>2503</v>
      </c>
      <c r="H106" s="131">
        <v>2800</v>
      </c>
    </row>
    <row r="107" spans="1:8" x14ac:dyDescent="0.2">
      <c r="B107" s="135" t="s">
        <v>1803</v>
      </c>
      <c r="C107" s="135" t="s">
        <v>547</v>
      </c>
      <c r="D107" s="135">
        <v>72926</v>
      </c>
      <c r="E107" s="135" t="s">
        <v>2034</v>
      </c>
      <c r="F107" s="135" t="s">
        <v>7</v>
      </c>
      <c r="G107" s="135" t="s">
        <v>2510</v>
      </c>
      <c r="H107" s="131">
        <v>475</v>
      </c>
    </row>
    <row r="108" spans="1:8" x14ac:dyDescent="0.2">
      <c r="B108" s="135" t="s">
        <v>1809</v>
      </c>
      <c r="C108" s="135" t="s">
        <v>547</v>
      </c>
      <c r="D108" s="135">
        <v>72326</v>
      </c>
      <c r="E108" s="135" t="s">
        <v>2014</v>
      </c>
      <c r="F108" s="135" t="s">
        <v>7</v>
      </c>
      <c r="G108" s="135" t="s">
        <v>2015</v>
      </c>
      <c r="H108" s="131">
        <v>2800</v>
      </c>
    </row>
    <row r="109" spans="1:8" x14ac:dyDescent="0.2">
      <c r="B109" s="135" t="s">
        <v>1809</v>
      </c>
      <c r="C109" s="135" t="s">
        <v>547</v>
      </c>
      <c r="D109" s="135">
        <v>72324</v>
      </c>
      <c r="E109" s="135" t="s">
        <v>2047</v>
      </c>
      <c r="F109" s="135" t="s">
        <v>7</v>
      </c>
      <c r="G109" s="135" t="s">
        <v>2505</v>
      </c>
      <c r="H109" s="131">
        <v>3000</v>
      </c>
    </row>
    <row r="110" spans="1:8" x14ac:dyDescent="0.2">
      <c r="B110" s="135" t="s">
        <v>1809</v>
      </c>
      <c r="C110" s="135" t="s">
        <v>547</v>
      </c>
      <c r="D110" s="135">
        <v>72324</v>
      </c>
      <c r="E110" s="135" t="s">
        <v>2048</v>
      </c>
      <c r="F110" s="135" t="s">
        <v>7</v>
      </c>
      <c r="G110" s="135" t="s">
        <v>2511</v>
      </c>
      <c r="H110" s="131">
        <v>3000</v>
      </c>
    </row>
    <row r="111" spans="1:8" x14ac:dyDescent="0.2">
      <c r="B111" s="135" t="s">
        <v>1809</v>
      </c>
      <c r="C111" s="135" t="s">
        <v>547</v>
      </c>
      <c r="D111" s="135">
        <v>72324</v>
      </c>
      <c r="E111" s="135" t="s">
        <v>2049</v>
      </c>
      <c r="F111" s="135" t="s">
        <v>7</v>
      </c>
      <c r="G111" s="135" t="s">
        <v>2512</v>
      </c>
      <c r="H111" s="131">
        <v>3000</v>
      </c>
    </row>
    <row r="112" spans="1:8" x14ac:dyDescent="0.2">
      <c r="B112" s="135" t="s">
        <v>1809</v>
      </c>
      <c r="C112" s="135" t="s">
        <v>547</v>
      </c>
      <c r="D112" s="135">
        <v>72325</v>
      </c>
      <c r="E112" s="135" t="s">
        <v>2037</v>
      </c>
      <c r="F112" s="135" t="s">
        <v>7</v>
      </c>
      <c r="G112" s="135" t="s">
        <v>2516</v>
      </c>
      <c r="H112" s="131">
        <v>1500</v>
      </c>
    </row>
    <row r="113" spans="2:8" x14ac:dyDescent="0.2">
      <c r="B113" s="135" t="s">
        <v>1809</v>
      </c>
      <c r="C113" s="135" t="s">
        <v>547</v>
      </c>
      <c r="D113" s="135">
        <v>72324</v>
      </c>
      <c r="E113" s="135" t="s">
        <v>2050</v>
      </c>
      <c r="F113" s="135" t="s">
        <v>7</v>
      </c>
      <c r="G113" s="135" t="s">
        <v>2514</v>
      </c>
      <c r="H113" s="131">
        <v>3000</v>
      </c>
    </row>
    <row r="114" spans="2:8" x14ac:dyDescent="0.2">
      <c r="B114" s="135" t="s">
        <v>1809</v>
      </c>
      <c r="C114" s="135" t="s">
        <v>547</v>
      </c>
      <c r="D114" s="135">
        <v>72324</v>
      </c>
      <c r="E114" s="135" t="s">
        <v>2037</v>
      </c>
      <c r="F114" s="135" t="s">
        <v>7</v>
      </c>
      <c r="G114" s="135" t="s">
        <v>2514</v>
      </c>
      <c r="H114" s="131">
        <v>3000</v>
      </c>
    </row>
    <row r="115" spans="2:8" x14ac:dyDescent="0.2">
      <c r="B115" s="135" t="s">
        <v>1809</v>
      </c>
      <c r="C115" s="135" t="s">
        <v>547</v>
      </c>
      <c r="D115" s="135">
        <v>72324</v>
      </c>
      <c r="E115" s="135" t="s">
        <v>2016</v>
      </c>
      <c r="F115" s="135" t="s">
        <v>7</v>
      </c>
      <c r="G115" s="135" t="s">
        <v>2017</v>
      </c>
      <c r="H115" s="131">
        <v>3000</v>
      </c>
    </row>
    <row r="116" spans="2:8" x14ac:dyDescent="0.2">
      <c r="B116" s="135" t="s">
        <v>1809</v>
      </c>
      <c r="C116" s="135" t="s">
        <v>547</v>
      </c>
      <c r="D116" s="135">
        <v>72324</v>
      </c>
      <c r="E116" s="135" t="s">
        <v>2051</v>
      </c>
      <c r="F116" s="135" t="s">
        <v>7</v>
      </c>
      <c r="G116" s="135" t="s">
        <v>2505</v>
      </c>
      <c r="H116" s="131">
        <v>4000</v>
      </c>
    </row>
    <row r="117" spans="2:8" x14ac:dyDescent="0.2">
      <c r="B117" s="135" t="s">
        <v>1809</v>
      </c>
      <c r="C117" s="135" t="s">
        <v>547</v>
      </c>
      <c r="D117" s="135">
        <v>72324</v>
      </c>
      <c r="E117" s="135" t="s">
        <v>2035</v>
      </c>
      <c r="F117" s="135" t="s">
        <v>7</v>
      </c>
      <c r="G117" s="135" t="s">
        <v>2513</v>
      </c>
      <c r="H117" s="131">
        <v>3000</v>
      </c>
    </row>
    <row r="118" spans="2:8" x14ac:dyDescent="0.2">
      <c r="B118" s="135" t="s">
        <v>1809</v>
      </c>
      <c r="C118" s="135" t="s">
        <v>547</v>
      </c>
      <c r="D118" s="135">
        <v>72324</v>
      </c>
      <c r="E118" s="135" t="s">
        <v>2038</v>
      </c>
      <c r="F118" s="135" t="s">
        <v>7</v>
      </c>
      <c r="G118" s="135" t="s">
        <v>2505</v>
      </c>
      <c r="H118" s="131">
        <v>2000</v>
      </c>
    </row>
    <row r="119" spans="2:8" x14ac:dyDescent="0.2">
      <c r="B119" s="135" t="s">
        <v>1809</v>
      </c>
      <c r="C119" s="135" t="s">
        <v>547</v>
      </c>
      <c r="D119" s="135">
        <v>72324</v>
      </c>
      <c r="E119" s="135" t="s">
        <v>2039</v>
      </c>
      <c r="F119" s="135" t="s">
        <v>7</v>
      </c>
      <c r="G119" s="135" t="s">
        <v>2505</v>
      </c>
      <c r="H119" s="131">
        <v>2100</v>
      </c>
    </row>
    <row r="120" spans="2:8" x14ac:dyDescent="0.2">
      <c r="B120" s="135" t="s">
        <v>1809</v>
      </c>
      <c r="C120" s="135" t="s">
        <v>547</v>
      </c>
      <c r="D120" s="135">
        <v>72324</v>
      </c>
      <c r="E120" s="135" t="s">
        <v>2040</v>
      </c>
      <c r="F120" s="135" t="s">
        <v>7</v>
      </c>
      <c r="G120" s="135" t="s">
        <v>2517</v>
      </c>
      <c r="H120" s="131">
        <v>2100</v>
      </c>
    </row>
    <row r="121" spans="2:8" x14ac:dyDescent="0.2">
      <c r="B121" s="135" t="s">
        <v>1809</v>
      </c>
      <c r="C121" s="135" t="s">
        <v>547</v>
      </c>
      <c r="D121" s="135">
        <v>72324</v>
      </c>
      <c r="E121" s="135" t="s">
        <v>2041</v>
      </c>
      <c r="F121" s="135" t="s">
        <v>7</v>
      </c>
      <c r="G121" s="135" t="s">
        <v>2518</v>
      </c>
      <c r="H121" s="131">
        <v>2100</v>
      </c>
    </row>
    <row r="122" spans="2:8" x14ac:dyDescent="0.2">
      <c r="B122" s="135" t="s">
        <v>1809</v>
      </c>
      <c r="C122" s="135" t="s">
        <v>547</v>
      </c>
      <c r="D122" s="135">
        <v>72324</v>
      </c>
      <c r="E122" s="135" t="s">
        <v>2042</v>
      </c>
      <c r="F122" s="135" t="s">
        <v>7</v>
      </c>
      <c r="G122" s="135" t="s">
        <v>2505</v>
      </c>
      <c r="H122" s="131">
        <v>2100</v>
      </c>
    </row>
    <row r="123" spans="2:8" x14ac:dyDescent="0.2">
      <c r="B123" s="135" t="s">
        <v>1809</v>
      </c>
      <c r="C123" s="135" t="s">
        <v>547</v>
      </c>
      <c r="D123" s="135">
        <v>72324</v>
      </c>
      <c r="E123" s="135" t="s">
        <v>2043</v>
      </c>
      <c r="F123" s="135" t="s">
        <v>7</v>
      </c>
      <c r="G123" s="135" t="s">
        <v>2519</v>
      </c>
      <c r="H123" s="131">
        <v>2100</v>
      </c>
    </row>
    <row r="124" spans="2:8" x14ac:dyDescent="0.2">
      <c r="B124" s="135" t="s">
        <v>1809</v>
      </c>
      <c r="C124" s="135" t="s">
        <v>547</v>
      </c>
      <c r="D124" s="135">
        <v>72324</v>
      </c>
      <c r="E124" s="135" t="s">
        <v>2044</v>
      </c>
      <c r="F124" s="135" t="s">
        <v>7</v>
      </c>
      <c r="G124" s="135" t="s">
        <v>2513</v>
      </c>
      <c r="H124" s="131">
        <v>2250</v>
      </c>
    </row>
    <row r="125" spans="2:8" x14ac:dyDescent="0.2">
      <c r="B125" s="135" t="s">
        <v>1809</v>
      </c>
      <c r="C125" s="135" t="s">
        <v>547</v>
      </c>
      <c r="D125" s="135">
        <v>72324</v>
      </c>
      <c r="E125" s="135" t="s">
        <v>2045</v>
      </c>
      <c r="F125" s="135" t="s">
        <v>7</v>
      </c>
      <c r="G125" s="135" t="s">
        <v>2505</v>
      </c>
      <c r="H125" s="131">
        <v>2625</v>
      </c>
    </row>
    <row r="126" spans="2:8" x14ac:dyDescent="0.2">
      <c r="B126" s="135" t="s">
        <v>1809</v>
      </c>
      <c r="C126" s="135" t="s">
        <v>547</v>
      </c>
      <c r="D126" s="135">
        <v>72324</v>
      </c>
      <c r="E126" s="135" t="s">
        <v>2046</v>
      </c>
      <c r="F126" s="135" t="s">
        <v>7</v>
      </c>
      <c r="G126" s="135" t="s">
        <v>2505</v>
      </c>
      <c r="H126" s="131">
        <v>2800</v>
      </c>
    </row>
    <row r="127" spans="2:8" x14ac:dyDescent="0.2">
      <c r="B127" s="135" t="s">
        <v>1809</v>
      </c>
      <c r="C127" s="135" t="s">
        <v>547</v>
      </c>
      <c r="D127" s="135">
        <v>72324</v>
      </c>
      <c r="E127" s="135" t="s">
        <v>2036</v>
      </c>
      <c r="F127" s="135" t="s">
        <v>7</v>
      </c>
      <c r="G127" s="135" t="s">
        <v>2515</v>
      </c>
      <c r="H127" s="131">
        <v>1400</v>
      </c>
    </row>
    <row r="128" spans="2:8" x14ac:dyDescent="0.2">
      <c r="B128" s="135" t="s">
        <v>1999</v>
      </c>
      <c r="C128" s="135" t="s">
        <v>547</v>
      </c>
      <c r="D128" s="135">
        <v>72424</v>
      </c>
      <c r="E128" s="135" t="s">
        <v>2052</v>
      </c>
      <c r="F128" s="135" t="s">
        <v>7</v>
      </c>
      <c r="G128" s="135" t="s">
        <v>2520</v>
      </c>
      <c r="H128" s="131">
        <v>1500</v>
      </c>
    </row>
    <row r="129" spans="1:8" x14ac:dyDescent="0.2">
      <c r="B129" s="135" t="s">
        <v>1999</v>
      </c>
      <c r="C129" s="135" t="s">
        <v>547</v>
      </c>
      <c r="D129" s="135">
        <v>72424</v>
      </c>
      <c r="E129" s="135" t="s">
        <v>2053</v>
      </c>
      <c r="F129" s="135" t="s">
        <v>7</v>
      </c>
      <c r="G129" s="135" t="s">
        <v>2015</v>
      </c>
      <c r="H129" s="131">
        <v>2800</v>
      </c>
    </row>
    <row r="130" spans="1:8" x14ac:dyDescent="0.2">
      <c r="B130" s="135" t="s">
        <v>2240</v>
      </c>
      <c r="C130" s="135" t="s">
        <v>547</v>
      </c>
      <c r="D130" s="135">
        <v>93024</v>
      </c>
      <c r="E130" s="135" t="s">
        <v>1583</v>
      </c>
      <c r="F130" s="135" t="s">
        <v>7</v>
      </c>
      <c r="G130" s="135" t="s">
        <v>2521</v>
      </c>
      <c r="H130" s="131">
        <v>450</v>
      </c>
    </row>
    <row r="131" spans="1:8" x14ac:dyDescent="0.2">
      <c r="B131" s="135" t="s">
        <v>2606</v>
      </c>
      <c r="C131" s="135" t="s">
        <v>547</v>
      </c>
      <c r="D131" s="135">
        <v>110424</v>
      </c>
      <c r="E131" s="135" t="s">
        <v>2607</v>
      </c>
      <c r="F131" s="135" t="s">
        <v>7</v>
      </c>
      <c r="G131" s="135" t="s">
        <v>2609</v>
      </c>
      <c r="H131" s="131">
        <v>35.119999999999997</v>
      </c>
    </row>
    <row r="132" spans="1:8" x14ac:dyDescent="0.2">
      <c r="B132" s="135" t="s">
        <v>2606</v>
      </c>
      <c r="C132" s="135" t="s">
        <v>547</v>
      </c>
      <c r="D132" s="135">
        <v>110424</v>
      </c>
      <c r="E132" s="135" t="s">
        <v>2607</v>
      </c>
      <c r="F132" s="135" t="s">
        <v>7</v>
      </c>
      <c r="G132" s="135" t="s">
        <v>2608</v>
      </c>
      <c r="H132" s="131">
        <v>17.98</v>
      </c>
    </row>
    <row r="133" spans="1:8" x14ac:dyDescent="0.2">
      <c r="B133" s="135" t="s">
        <v>2606</v>
      </c>
      <c r="C133" s="135" t="s">
        <v>547</v>
      </c>
      <c r="D133" s="135">
        <v>110424</v>
      </c>
      <c r="E133" s="135" t="s">
        <v>2607</v>
      </c>
      <c r="F133" s="135" t="s">
        <v>7</v>
      </c>
      <c r="G133" s="135" t="s">
        <v>2610</v>
      </c>
      <c r="H133" s="131">
        <v>19.41</v>
      </c>
    </row>
    <row r="134" spans="1:8" x14ac:dyDescent="0.2">
      <c r="B134" s="135" t="s">
        <v>2606</v>
      </c>
      <c r="C134" s="135" t="s">
        <v>547</v>
      </c>
      <c r="D134" s="135">
        <v>110424</v>
      </c>
      <c r="E134" s="135" t="s">
        <v>2607</v>
      </c>
      <c r="F134" s="135" t="s">
        <v>7</v>
      </c>
      <c r="G134" s="135" t="s">
        <v>2611</v>
      </c>
      <c r="H134" s="131">
        <v>1400</v>
      </c>
    </row>
    <row r="135" spans="1:8" x14ac:dyDescent="0.2">
      <c r="B135" s="135" t="s">
        <v>2606</v>
      </c>
      <c r="C135" s="135" t="s">
        <v>547</v>
      </c>
      <c r="D135" s="135">
        <v>110424</v>
      </c>
      <c r="E135" s="135" t="s">
        <v>2612</v>
      </c>
      <c r="F135" s="135" t="s">
        <v>7</v>
      </c>
      <c r="G135" s="135" t="s">
        <v>2613</v>
      </c>
      <c r="H135" s="131">
        <v>450</v>
      </c>
    </row>
    <row r="136" spans="1:8" x14ac:dyDescent="0.2">
      <c r="B136" s="135" t="s">
        <v>2606</v>
      </c>
      <c r="C136" s="135" t="s">
        <v>547</v>
      </c>
      <c r="D136" s="135">
        <v>110424</v>
      </c>
      <c r="E136" s="135" t="s">
        <v>2612</v>
      </c>
      <c r="F136" s="135" t="s">
        <v>7</v>
      </c>
      <c r="G136" s="135" t="s">
        <v>2614</v>
      </c>
      <c r="H136" s="131">
        <v>150</v>
      </c>
    </row>
    <row r="137" spans="1:8" x14ac:dyDescent="0.2">
      <c r="A137" s="129" t="s">
        <v>1577</v>
      </c>
      <c r="H137" s="132">
        <v>73762.509999999995</v>
      </c>
    </row>
    <row r="138" spans="1:8" x14ac:dyDescent="0.2">
      <c r="A138" s="129" t="s">
        <v>464</v>
      </c>
    </row>
    <row r="139" spans="1:8" x14ac:dyDescent="0.2">
      <c r="B139" s="135" t="s">
        <v>821</v>
      </c>
      <c r="C139" s="135" t="s">
        <v>339</v>
      </c>
      <c r="D139" s="135" t="s">
        <v>822</v>
      </c>
      <c r="E139" s="135"/>
      <c r="F139" s="135" t="s">
        <v>7</v>
      </c>
      <c r="G139" s="135"/>
      <c r="H139" s="131">
        <v>7500</v>
      </c>
    </row>
    <row r="140" spans="1:8" x14ac:dyDescent="0.2">
      <c r="B140" s="135" t="s">
        <v>1012</v>
      </c>
      <c r="C140" s="135" t="s">
        <v>339</v>
      </c>
      <c r="D140" s="135" t="s">
        <v>1013</v>
      </c>
      <c r="E140" s="135"/>
      <c r="F140" s="135" t="s">
        <v>7</v>
      </c>
      <c r="G140" s="135"/>
      <c r="H140" s="131">
        <v>7500</v>
      </c>
    </row>
    <row r="141" spans="1:8" x14ac:dyDescent="0.2">
      <c r="B141" s="135" t="s">
        <v>1161</v>
      </c>
      <c r="C141" s="135" t="s">
        <v>339</v>
      </c>
      <c r="D141" s="135" t="s">
        <v>1162</v>
      </c>
      <c r="E141" s="135"/>
      <c r="F141" s="135" t="s">
        <v>7</v>
      </c>
      <c r="G141" s="135"/>
      <c r="H141" s="131">
        <v>7500</v>
      </c>
    </row>
    <row r="142" spans="1:8" x14ac:dyDescent="0.2">
      <c r="B142" s="135" t="s">
        <v>1280</v>
      </c>
      <c r="C142" s="135" t="s">
        <v>339</v>
      </c>
      <c r="D142" s="135" t="s">
        <v>1359</v>
      </c>
      <c r="E142" s="135"/>
      <c r="F142" s="135" t="s">
        <v>7</v>
      </c>
      <c r="G142" s="135"/>
      <c r="H142" s="131">
        <v>7500</v>
      </c>
    </row>
    <row r="143" spans="1:8" x14ac:dyDescent="0.2">
      <c r="B143" s="135" t="s">
        <v>1447</v>
      </c>
      <c r="C143" s="135" t="s">
        <v>339</v>
      </c>
      <c r="D143" s="135" t="s">
        <v>1532</v>
      </c>
      <c r="E143" s="135"/>
      <c r="F143" s="135" t="s">
        <v>7</v>
      </c>
      <c r="G143" s="135"/>
      <c r="H143" s="131">
        <v>7500</v>
      </c>
    </row>
    <row r="144" spans="1:8" x14ac:dyDescent="0.2">
      <c r="B144" s="135" t="s">
        <v>1634</v>
      </c>
      <c r="C144" s="135" t="s">
        <v>339</v>
      </c>
      <c r="D144" s="135" t="s">
        <v>1635</v>
      </c>
      <c r="E144" s="135"/>
      <c r="F144" s="135" t="s">
        <v>7</v>
      </c>
      <c r="G144" s="135" t="s">
        <v>2559</v>
      </c>
      <c r="H144" s="131">
        <v>7500</v>
      </c>
    </row>
    <row r="145" spans="1:8" x14ac:dyDescent="0.2">
      <c r="B145" s="135" t="s">
        <v>1824</v>
      </c>
      <c r="C145" s="135" t="s">
        <v>339</v>
      </c>
      <c r="D145" s="135" t="s">
        <v>1826</v>
      </c>
      <c r="E145" s="135"/>
      <c r="F145" s="135" t="s">
        <v>7</v>
      </c>
      <c r="G145" s="135"/>
      <c r="H145" s="131">
        <v>7500</v>
      </c>
    </row>
    <row r="146" spans="1:8" x14ac:dyDescent="0.2">
      <c r="B146" s="135" t="s">
        <v>2093</v>
      </c>
      <c r="C146" s="135" t="s">
        <v>339</v>
      </c>
      <c r="D146" s="135" t="s">
        <v>2094</v>
      </c>
      <c r="E146" s="135"/>
      <c r="F146" s="135" t="s">
        <v>7</v>
      </c>
      <c r="G146" s="135"/>
      <c r="H146" s="131">
        <v>7500</v>
      </c>
    </row>
    <row r="147" spans="1:8" x14ac:dyDescent="0.2">
      <c r="B147" s="135" t="s">
        <v>2246</v>
      </c>
      <c r="C147" s="135" t="s">
        <v>339</v>
      </c>
      <c r="D147" s="135" t="s">
        <v>2247</v>
      </c>
      <c r="E147" s="135"/>
      <c r="F147" s="135" t="s">
        <v>7</v>
      </c>
      <c r="G147" s="135"/>
      <c r="H147" s="131">
        <v>7500</v>
      </c>
    </row>
    <row r="148" spans="1:8" x14ac:dyDescent="0.2">
      <c r="B148" s="135" t="s">
        <v>2355</v>
      </c>
      <c r="C148" s="135" t="s">
        <v>339</v>
      </c>
      <c r="D148" s="135" t="s">
        <v>2356</v>
      </c>
      <c r="E148" s="135"/>
      <c r="F148" s="135" t="s">
        <v>7</v>
      </c>
      <c r="G148" s="135"/>
      <c r="H148" s="131">
        <v>7500</v>
      </c>
    </row>
    <row r="149" spans="1:8" x14ac:dyDescent="0.2">
      <c r="B149" s="135" t="s">
        <v>2560</v>
      </c>
      <c r="C149" s="135" t="s">
        <v>339</v>
      </c>
      <c r="D149" s="135" t="s">
        <v>2561</v>
      </c>
      <c r="E149" s="135"/>
      <c r="F149" s="135" t="s">
        <v>7</v>
      </c>
      <c r="G149" s="135"/>
      <c r="H149" s="131">
        <v>7500</v>
      </c>
    </row>
    <row r="150" spans="1:8" x14ac:dyDescent="0.2">
      <c r="A150" s="129" t="s">
        <v>465</v>
      </c>
      <c r="H150" s="132">
        <v>82500</v>
      </c>
    </row>
    <row r="151" spans="1:8" x14ac:dyDescent="0.2">
      <c r="A151" s="129" t="s">
        <v>1085</v>
      </c>
    </row>
    <row r="152" spans="1:8" x14ac:dyDescent="0.2">
      <c r="A152" s="129" t="s">
        <v>2320</v>
      </c>
    </row>
    <row r="153" spans="1:8" x14ac:dyDescent="0.2">
      <c r="B153" s="135" t="s">
        <v>2240</v>
      </c>
      <c r="C153" s="135" t="s">
        <v>547</v>
      </c>
      <c r="D153" s="135">
        <v>93024</v>
      </c>
      <c r="E153" s="135"/>
      <c r="F153" s="135" t="s">
        <v>7</v>
      </c>
      <c r="G153" s="135" t="s">
        <v>2522</v>
      </c>
      <c r="H153" s="131">
        <v>420</v>
      </c>
    </row>
    <row r="154" spans="1:8" x14ac:dyDescent="0.2">
      <c r="A154" s="129" t="s">
        <v>2321</v>
      </c>
      <c r="H154" s="132">
        <v>420</v>
      </c>
    </row>
    <row r="155" spans="1:8" x14ac:dyDescent="0.2">
      <c r="A155" s="129" t="s">
        <v>1086</v>
      </c>
    </row>
    <row r="156" spans="1:8" x14ac:dyDescent="0.2">
      <c r="B156" s="135" t="s">
        <v>894</v>
      </c>
      <c r="C156" s="135" t="s">
        <v>3</v>
      </c>
      <c r="D156" s="135"/>
      <c r="E156" s="135" t="s">
        <v>1087</v>
      </c>
      <c r="F156" s="135" t="s">
        <v>7</v>
      </c>
      <c r="G156" s="135" t="s">
        <v>2523</v>
      </c>
      <c r="H156" s="131">
        <v>25</v>
      </c>
    </row>
    <row r="157" spans="1:8" x14ac:dyDescent="0.2">
      <c r="B157" s="135" t="s">
        <v>1088</v>
      </c>
      <c r="C157" s="135" t="s">
        <v>547</v>
      </c>
      <c r="D157" s="135">
        <v>22324</v>
      </c>
      <c r="E157" s="135" t="s">
        <v>1089</v>
      </c>
      <c r="F157" s="135" t="s">
        <v>7</v>
      </c>
      <c r="G157" s="135" t="s">
        <v>2524</v>
      </c>
      <c r="H157" s="131">
        <v>58.29</v>
      </c>
    </row>
    <row r="158" spans="1:8" x14ac:dyDescent="0.2">
      <c r="B158" s="135" t="s">
        <v>954</v>
      </c>
      <c r="C158" s="135" t="s">
        <v>101</v>
      </c>
      <c r="D158" s="135">
        <v>16686</v>
      </c>
      <c r="E158" s="135"/>
      <c r="F158" s="135" t="s">
        <v>7</v>
      </c>
      <c r="G158" s="135" t="s">
        <v>2525</v>
      </c>
      <c r="H158" s="131">
        <v>-25</v>
      </c>
    </row>
    <row r="159" spans="1:8" x14ac:dyDescent="0.2">
      <c r="B159" s="135" t="s">
        <v>2199</v>
      </c>
      <c r="C159" s="135" t="s">
        <v>3</v>
      </c>
      <c r="D159" s="135"/>
      <c r="E159" s="135" t="s">
        <v>1087</v>
      </c>
      <c r="F159" s="135" t="s">
        <v>7</v>
      </c>
      <c r="G159" s="135" t="s">
        <v>2523</v>
      </c>
      <c r="H159" s="131">
        <v>25</v>
      </c>
    </row>
    <row r="160" spans="1:8" x14ac:dyDescent="0.2">
      <c r="B160" s="135" t="s">
        <v>2781</v>
      </c>
      <c r="C160" s="135" t="s">
        <v>3</v>
      </c>
      <c r="D160" s="135"/>
      <c r="E160" s="135" t="s">
        <v>1087</v>
      </c>
      <c r="F160" s="135" t="s">
        <v>7</v>
      </c>
      <c r="G160" s="135" t="s">
        <v>2523</v>
      </c>
      <c r="H160" s="131">
        <v>25</v>
      </c>
    </row>
    <row r="161" spans="1:8" x14ac:dyDescent="0.2">
      <c r="B161" s="135" t="s">
        <v>2771</v>
      </c>
      <c r="C161" s="135" t="s">
        <v>3</v>
      </c>
      <c r="D161" s="135"/>
      <c r="E161" s="135" t="s">
        <v>1087</v>
      </c>
      <c r="F161" s="135" t="s">
        <v>7</v>
      </c>
      <c r="G161" s="135" t="s">
        <v>2523</v>
      </c>
      <c r="H161" s="131">
        <v>25</v>
      </c>
    </row>
    <row r="162" spans="1:8" x14ac:dyDescent="0.2">
      <c r="A162" s="129" t="s">
        <v>1090</v>
      </c>
      <c r="H162" s="132">
        <v>133.29</v>
      </c>
    </row>
    <row r="163" spans="1:8" x14ac:dyDescent="0.2">
      <c r="A163" s="129" t="s">
        <v>1091</v>
      </c>
      <c r="H163" s="132">
        <v>553.29</v>
      </c>
    </row>
    <row r="164" spans="1:8" x14ac:dyDescent="0.2">
      <c r="A164" s="129" t="s">
        <v>466</v>
      </c>
      <c r="H164" s="132">
        <v>156815.79999999999</v>
      </c>
    </row>
    <row r="165" spans="1:8" x14ac:dyDescent="0.2">
      <c r="A165" s="129" t="s">
        <v>379</v>
      </c>
      <c r="H165" s="132">
        <v>156815.79999999999</v>
      </c>
    </row>
    <row r="166" spans="1:8" x14ac:dyDescent="0.2">
      <c r="A166" s="129" t="s">
        <v>380</v>
      </c>
      <c r="H166" s="132">
        <v>156815.79999999999</v>
      </c>
    </row>
    <row r="167" spans="1:8" x14ac:dyDescent="0.2">
      <c r="A167" s="129" t="s">
        <v>4</v>
      </c>
      <c r="H167" s="132">
        <v>-7138.3</v>
      </c>
    </row>
    <row r="170" spans="1:8" x14ac:dyDescent="0.2">
      <c r="A170" s="334" t="s">
        <v>2817</v>
      </c>
      <c r="B170" s="335"/>
      <c r="C170" s="335"/>
      <c r="D170" s="335"/>
      <c r="E170" s="335"/>
      <c r="F170" s="335"/>
      <c r="G170" s="335"/>
      <c r="H170" s="335"/>
    </row>
  </sheetData>
  <mergeCells count="4">
    <mergeCell ref="A170:H170"/>
    <mergeCell ref="A1:H1"/>
    <mergeCell ref="A2:H2"/>
    <mergeCell ref="A3:H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911"/>
  <sheetViews>
    <sheetView workbookViewId="0">
      <selection sqref="A1:H1"/>
    </sheetView>
  </sheetViews>
  <sheetFormatPr baseColWidth="10" defaultColWidth="8.83203125" defaultRowHeight="15" x14ac:dyDescent="0.2"/>
  <cols>
    <col min="1" max="1" width="44.6640625" customWidth="1"/>
    <col min="2" max="2" width="9.5" customWidth="1"/>
    <col min="3" max="3" width="12" customWidth="1"/>
    <col min="4" max="4" width="18" customWidth="1"/>
    <col min="5" max="5" width="35.33203125" customWidth="1"/>
    <col min="6" max="6" width="9.5" customWidth="1"/>
    <col min="7" max="7" width="70.5" customWidth="1"/>
    <col min="8" max="8" width="11.1640625" customWidth="1"/>
  </cols>
  <sheetData>
    <row r="1" spans="1:8" ht="18" x14ac:dyDescent="0.2">
      <c r="A1" s="336" t="s">
        <v>64</v>
      </c>
      <c r="B1" s="335"/>
      <c r="C1" s="335"/>
      <c r="D1" s="335"/>
      <c r="E1" s="335"/>
      <c r="F1" s="335"/>
      <c r="G1" s="335"/>
      <c r="H1" s="335"/>
    </row>
    <row r="2" spans="1:8" ht="18" x14ac:dyDescent="0.2">
      <c r="A2" s="336" t="s">
        <v>332</v>
      </c>
      <c r="B2" s="335"/>
      <c r="C2" s="335"/>
      <c r="D2" s="335"/>
      <c r="E2" s="335"/>
      <c r="F2" s="335"/>
      <c r="G2" s="335"/>
      <c r="H2" s="335"/>
    </row>
    <row r="3" spans="1:8" x14ac:dyDescent="0.2">
      <c r="A3" s="337" t="s">
        <v>2675</v>
      </c>
      <c r="B3" s="335"/>
      <c r="C3" s="335"/>
      <c r="D3" s="335"/>
      <c r="E3" s="335"/>
      <c r="F3" s="335"/>
      <c r="G3" s="335"/>
      <c r="H3" s="335"/>
    </row>
    <row r="5" spans="1:8" ht="27" x14ac:dyDescent="0.2">
      <c r="B5" s="128" t="s">
        <v>97</v>
      </c>
      <c r="C5" s="128" t="s">
        <v>333</v>
      </c>
      <c r="D5" s="128" t="s">
        <v>98</v>
      </c>
      <c r="E5" s="128" t="s">
        <v>99</v>
      </c>
      <c r="F5" s="128" t="s">
        <v>152</v>
      </c>
      <c r="G5" s="128" t="s">
        <v>334</v>
      </c>
      <c r="H5" s="128" t="s">
        <v>149</v>
      </c>
    </row>
    <row r="6" spans="1:8" x14ac:dyDescent="0.2">
      <c r="A6" s="129" t="s">
        <v>335</v>
      </c>
    </row>
    <row r="7" spans="1:8" x14ac:dyDescent="0.2">
      <c r="A7" s="129" t="s">
        <v>336</v>
      </c>
    </row>
    <row r="8" spans="1:8" x14ac:dyDescent="0.2">
      <c r="A8" s="129" t="s">
        <v>337</v>
      </c>
    </row>
    <row r="9" spans="1:8" x14ac:dyDescent="0.2">
      <c r="A9" s="129" t="s">
        <v>472</v>
      </c>
    </row>
    <row r="10" spans="1:8" x14ac:dyDescent="0.2">
      <c r="A10" s="129" t="s">
        <v>338</v>
      </c>
    </row>
    <row r="11" spans="1:8" ht="37" x14ac:dyDescent="0.2">
      <c r="B11" s="135" t="s">
        <v>821</v>
      </c>
      <c r="C11" s="135" t="s">
        <v>100</v>
      </c>
      <c r="D11" s="135" t="s">
        <v>873</v>
      </c>
      <c r="E11" s="135" t="s">
        <v>135</v>
      </c>
      <c r="F11" s="135" t="s">
        <v>722</v>
      </c>
      <c r="G11" s="135" t="s">
        <v>841</v>
      </c>
      <c r="H11" s="131">
        <v>600</v>
      </c>
    </row>
    <row r="12" spans="1:8" ht="37" x14ac:dyDescent="0.2">
      <c r="B12" s="135" t="s">
        <v>821</v>
      </c>
      <c r="C12" s="135" t="s">
        <v>100</v>
      </c>
      <c r="D12" s="135" t="s">
        <v>884</v>
      </c>
      <c r="E12" s="135" t="s">
        <v>113</v>
      </c>
      <c r="F12" s="135" t="s">
        <v>722</v>
      </c>
      <c r="G12" s="135" t="s">
        <v>841</v>
      </c>
      <c r="H12" s="131">
        <v>16750</v>
      </c>
    </row>
    <row r="13" spans="1:8" ht="37" x14ac:dyDescent="0.2">
      <c r="B13" s="135" t="s">
        <v>821</v>
      </c>
      <c r="C13" s="135" t="s">
        <v>100</v>
      </c>
      <c r="D13" s="135" t="s">
        <v>842</v>
      </c>
      <c r="E13" s="135" t="s">
        <v>129</v>
      </c>
      <c r="F13" s="135" t="s">
        <v>722</v>
      </c>
      <c r="G13" s="135" t="s">
        <v>841</v>
      </c>
      <c r="H13" s="131">
        <v>9300</v>
      </c>
    </row>
    <row r="14" spans="1:8" ht="37" x14ac:dyDescent="0.2">
      <c r="B14" s="135" t="s">
        <v>821</v>
      </c>
      <c r="C14" s="135" t="s">
        <v>100</v>
      </c>
      <c r="D14" s="135" t="s">
        <v>856</v>
      </c>
      <c r="E14" s="135" t="s">
        <v>140</v>
      </c>
      <c r="F14" s="135" t="s">
        <v>722</v>
      </c>
      <c r="G14" s="135" t="s">
        <v>841</v>
      </c>
      <c r="H14" s="131">
        <v>8050</v>
      </c>
    </row>
    <row r="15" spans="1:8" ht="37" x14ac:dyDescent="0.2">
      <c r="B15" s="135" t="s">
        <v>821</v>
      </c>
      <c r="C15" s="135" t="s">
        <v>100</v>
      </c>
      <c r="D15" s="135" t="s">
        <v>846</v>
      </c>
      <c r="E15" s="135" t="s">
        <v>111</v>
      </c>
      <c r="F15" s="135" t="s">
        <v>722</v>
      </c>
      <c r="G15" s="135" t="s">
        <v>841</v>
      </c>
      <c r="H15" s="131">
        <v>7750</v>
      </c>
    </row>
    <row r="16" spans="1:8" ht="37" x14ac:dyDescent="0.2">
      <c r="B16" s="135" t="s">
        <v>821</v>
      </c>
      <c r="C16" s="135" t="s">
        <v>100</v>
      </c>
      <c r="D16" s="135" t="s">
        <v>858</v>
      </c>
      <c r="E16" s="135" t="s">
        <v>126</v>
      </c>
      <c r="F16" s="135" t="s">
        <v>722</v>
      </c>
      <c r="G16" s="135" t="s">
        <v>841</v>
      </c>
      <c r="H16" s="131">
        <v>6850</v>
      </c>
    </row>
    <row r="17" spans="2:8" ht="37" x14ac:dyDescent="0.2">
      <c r="B17" s="135" t="s">
        <v>821</v>
      </c>
      <c r="C17" s="135" t="s">
        <v>100</v>
      </c>
      <c r="D17" s="135" t="s">
        <v>859</v>
      </c>
      <c r="E17" s="135" t="s">
        <v>106</v>
      </c>
      <c r="F17" s="135" t="s">
        <v>722</v>
      </c>
      <c r="G17" s="135" t="s">
        <v>841</v>
      </c>
      <c r="H17" s="131">
        <v>6800</v>
      </c>
    </row>
    <row r="18" spans="2:8" ht="37" x14ac:dyDescent="0.2">
      <c r="B18" s="135" t="s">
        <v>821</v>
      </c>
      <c r="C18" s="135" t="s">
        <v>100</v>
      </c>
      <c r="D18" s="135" t="s">
        <v>871</v>
      </c>
      <c r="E18" s="135" t="s">
        <v>144</v>
      </c>
      <c r="F18" s="135" t="s">
        <v>722</v>
      </c>
      <c r="G18" s="135" t="s">
        <v>841</v>
      </c>
      <c r="H18" s="131">
        <v>6600</v>
      </c>
    </row>
    <row r="19" spans="2:8" ht="37" x14ac:dyDescent="0.2">
      <c r="B19" s="135" t="s">
        <v>821</v>
      </c>
      <c r="C19" s="135" t="s">
        <v>100</v>
      </c>
      <c r="D19" s="135" t="s">
        <v>890</v>
      </c>
      <c r="E19" s="135" t="s">
        <v>132</v>
      </c>
      <c r="F19" s="135" t="s">
        <v>722</v>
      </c>
      <c r="G19" s="135" t="s">
        <v>841</v>
      </c>
      <c r="H19" s="131">
        <v>5950</v>
      </c>
    </row>
    <row r="20" spans="2:8" ht="37" x14ac:dyDescent="0.2">
      <c r="B20" s="135" t="s">
        <v>821</v>
      </c>
      <c r="C20" s="135" t="s">
        <v>100</v>
      </c>
      <c r="D20" s="135" t="s">
        <v>889</v>
      </c>
      <c r="E20" s="135" t="s">
        <v>112</v>
      </c>
      <c r="F20" s="135" t="s">
        <v>722</v>
      </c>
      <c r="G20" s="135" t="s">
        <v>841</v>
      </c>
      <c r="H20" s="131">
        <v>5850</v>
      </c>
    </row>
    <row r="21" spans="2:8" ht="37" x14ac:dyDescent="0.2">
      <c r="B21" s="135" t="s">
        <v>821</v>
      </c>
      <c r="C21" s="135" t="s">
        <v>100</v>
      </c>
      <c r="D21" s="135" t="s">
        <v>845</v>
      </c>
      <c r="E21" s="135" t="s">
        <v>103</v>
      </c>
      <c r="F21" s="135" t="s">
        <v>722</v>
      </c>
      <c r="G21" s="135" t="s">
        <v>841</v>
      </c>
      <c r="H21" s="131">
        <v>5550</v>
      </c>
    </row>
    <row r="22" spans="2:8" ht="37" x14ac:dyDescent="0.2">
      <c r="B22" s="135" t="s">
        <v>821</v>
      </c>
      <c r="C22" s="135" t="s">
        <v>100</v>
      </c>
      <c r="D22" s="135" t="s">
        <v>840</v>
      </c>
      <c r="E22" s="135" t="s">
        <v>115</v>
      </c>
      <c r="F22" s="135" t="s">
        <v>722</v>
      </c>
      <c r="G22" s="135" t="s">
        <v>841</v>
      </c>
      <c r="H22" s="131">
        <v>4850</v>
      </c>
    </row>
    <row r="23" spans="2:8" ht="37" x14ac:dyDescent="0.2">
      <c r="B23" s="135" t="s">
        <v>821</v>
      </c>
      <c r="C23" s="135" t="s">
        <v>100</v>
      </c>
      <c r="D23" s="135" t="s">
        <v>866</v>
      </c>
      <c r="E23" s="135" t="s">
        <v>117</v>
      </c>
      <c r="F23" s="135" t="s">
        <v>722</v>
      </c>
      <c r="G23" s="135" t="s">
        <v>841</v>
      </c>
      <c r="H23" s="131">
        <v>4650</v>
      </c>
    </row>
    <row r="24" spans="2:8" ht="37" x14ac:dyDescent="0.2">
      <c r="B24" s="135" t="s">
        <v>821</v>
      </c>
      <c r="C24" s="135" t="s">
        <v>100</v>
      </c>
      <c r="D24" s="135" t="s">
        <v>868</v>
      </c>
      <c r="E24" s="135" t="s">
        <v>116</v>
      </c>
      <c r="F24" s="135" t="s">
        <v>722</v>
      </c>
      <c r="G24" s="135" t="s">
        <v>841</v>
      </c>
      <c r="H24" s="131">
        <v>4600</v>
      </c>
    </row>
    <row r="25" spans="2:8" ht="37" x14ac:dyDescent="0.2">
      <c r="B25" s="135" t="s">
        <v>821</v>
      </c>
      <c r="C25" s="135" t="s">
        <v>100</v>
      </c>
      <c r="D25" s="135" t="s">
        <v>874</v>
      </c>
      <c r="E25" s="135" t="s">
        <v>120</v>
      </c>
      <c r="F25" s="135" t="s">
        <v>722</v>
      </c>
      <c r="G25" s="135" t="s">
        <v>841</v>
      </c>
      <c r="H25" s="131">
        <v>11500</v>
      </c>
    </row>
    <row r="26" spans="2:8" ht="37" x14ac:dyDescent="0.2">
      <c r="B26" s="135" t="s">
        <v>821</v>
      </c>
      <c r="C26" s="135" t="s">
        <v>100</v>
      </c>
      <c r="D26" s="135" t="s">
        <v>851</v>
      </c>
      <c r="E26" s="135" t="s">
        <v>104</v>
      </c>
      <c r="F26" s="135" t="s">
        <v>722</v>
      </c>
      <c r="G26" s="135" t="s">
        <v>841</v>
      </c>
      <c r="H26" s="131">
        <v>4450</v>
      </c>
    </row>
    <row r="27" spans="2:8" ht="37" x14ac:dyDescent="0.2">
      <c r="B27" s="135" t="s">
        <v>821</v>
      </c>
      <c r="C27" s="135" t="s">
        <v>100</v>
      </c>
      <c r="D27" s="135" t="s">
        <v>880</v>
      </c>
      <c r="E27" s="135" t="s">
        <v>109</v>
      </c>
      <c r="F27" s="135" t="s">
        <v>722</v>
      </c>
      <c r="G27" s="135" t="s">
        <v>841</v>
      </c>
      <c r="H27" s="131">
        <v>4450</v>
      </c>
    </row>
    <row r="28" spans="2:8" ht="37" x14ac:dyDescent="0.2">
      <c r="B28" s="135" t="s">
        <v>821</v>
      </c>
      <c r="C28" s="135" t="s">
        <v>100</v>
      </c>
      <c r="D28" s="135" t="s">
        <v>875</v>
      </c>
      <c r="E28" s="135" t="s">
        <v>131</v>
      </c>
      <c r="F28" s="135" t="s">
        <v>722</v>
      </c>
      <c r="G28" s="135" t="s">
        <v>841</v>
      </c>
      <c r="H28" s="131">
        <v>4300</v>
      </c>
    </row>
    <row r="29" spans="2:8" ht="37" x14ac:dyDescent="0.2">
      <c r="B29" s="135" t="s">
        <v>821</v>
      </c>
      <c r="C29" s="135" t="s">
        <v>100</v>
      </c>
      <c r="D29" s="135" t="s">
        <v>876</v>
      </c>
      <c r="E29" s="135" t="s">
        <v>142</v>
      </c>
      <c r="F29" s="135" t="s">
        <v>722</v>
      </c>
      <c r="G29" s="135" t="s">
        <v>841</v>
      </c>
      <c r="H29" s="131">
        <v>3950</v>
      </c>
    </row>
    <row r="30" spans="2:8" ht="37" x14ac:dyDescent="0.2">
      <c r="B30" s="135" t="s">
        <v>821</v>
      </c>
      <c r="C30" s="135" t="s">
        <v>100</v>
      </c>
      <c r="D30" s="135" t="s">
        <v>852</v>
      </c>
      <c r="E30" s="135" t="s">
        <v>133</v>
      </c>
      <c r="F30" s="135" t="s">
        <v>722</v>
      </c>
      <c r="G30" s="135" t="s">
        <v>841</v>
      </c>
      <c r="H30" s="131">
        <v>3750</v>
      </c>
    </row>
    <row r="31" spans="2:8" ht="37" x14ac:dyDescent="0.2">
      <c r="B31" s="135" t="s">
        <v>821</v>
      </c>
      <c r="C31" s="135" t="s">
        <v>100</v>
      </c>
      <c r="D31" s="135" t="s">
        <v>857</v>
      </c>
      <c r="E31" s="135" t="s">
        <v>146</v>
      </c>
      <c r="F31" s="135" t="s">
        <v>722</v>
      </c>
      <c r="G31" s="135" t="s">
        <v>841</v>
      </c>
      <c r="H31" s="131">
        <v>3350</v>
      </c>
    </row>
    <row r="32" spans="2:8" ht="37" x14ac:dyDescent="0.2">
      <c r="B32" s="135" t="s">
        <v>821</v>
      </c>
      <c r="C32" s="135" t="s">
        <v>100</v>
      </c>
      <c r="D32" s="135" t="s">
        <v>872</v>
      </c>
      <c r="E32" s="135" t="s">
        <v>143</v>
      </c>
      <c r="F32" s="135" t="s">
        <v>722</v>
      </c>
      <c r="G32" s="135" t="s">
        <v>841</v>
      </c>
      <c r="H32" s="131">
        <v>3300</v>
      </c>
    </row>
    <row r="33" spans="2:8" ht="37" x14ac:dyDescent="0.2">
      <c r="B33" s="135" t="s">
        <v>821</v>
      </c>
      <c r="C33" s="135" t="s">
        <v>100</v>
      </c>
      <c r="D33" s="135" t="s">
        <v>865</v>
      </c>
      <c r="E33" s="135" t="s">
        <v>138</v>
      </c>
      <c r="F33" s="135" t="s">
        <v>722</v>
      </c>
      <c r="G33" s="135" t="s">
        <v>841</v>
      </c>
      <c r="H33" s="131">
        <v>2950</v>
      </c>
    </row>
    <row r="34" spans="2:8" ht="37" x14ac:dyDescent="0.2">
      <c r="B34" s="135" t="s">
        <v>821</v>
      </c>
      <c r="C34" s="135" t="s">
        <v>100</v>
      </c>
      <c r="D34" s="135" t="s">
        <v>848</v>
      </c>
      <c r="E34" s="135" t="s">
        <v>125</v>
      </c>
      <c r="F34" s="135" t="s">
        <v>722</v>
      </c>
      <c r="G34" s="135" t="s">
        <v>841</v>
      </c>
      <c r="H34" s="131">
        <v>2550</v>
      </c>
    </row>
    <row r="35" spans="2:8" ht="37" x14ac:dyDescent="0.2">
      <c r="B35" s="135" t="s">
        <v>821</v>
      </c>
      <c r="C35" s="135" t="s">
        <v>100</v>
      </c>
      <c r="D35" s="135" t="s">
        <v>862</v>
      </c>
      <c r="E35" s="135" t="s">
        <v>123</v>
      </c>
      <c r="F35" s="135" t="s">
        <v>722</v>
      </c>
      <c r="G35" s="135" t="s">
        <v>841</v>
      </c>
      <c r="H35" s="131">
        <v>2400</v>
      </c>
    </row>
    <row r="36" spans="2:8" ht="37" x14ac:dyDescent="0.2">
      <c r="B36" s="135" t="s">
        <v>821</v>
      </c>
      <c r="C36" s="135" t="s">
        <v>100</v>
      </c>
      <c r="D36" s="135" t="s">
        <v>887</v>
      </c>
      <c r="E36" s="135" t="s">
        <v>128</v>
      </c>
      <c r="F36" s="135" t="s">
        <v>722</v>
      </c>
      <c r="G36" s="135" t="s">
        <v>841</v>
      </c>
      <c r="H36" s="131">
        <v>2350</v>
      </c>
    </row>
    <row r="37" spans="2:8" ht="37" x14ac:dyDescent="0.2">
      <c r="B37" s="135" t="s">
        <v>821</v>
      </c>
      <c r="C37" s="135" t="s">
        <v>100</v>
      </c>
      <c r="D37" s="135" t="s">
        <v>844</v>
      </c>
      <c r="E37" s="135" t="s">
        <v>119</v>
      </c>
      <c r="F37" s="135" t="s">
        <v>722</v>
      </c>
      <c r="G37" s="135" t="s">
        <v>841</v>
      </c>
      <c r="H37" s="131">
        <v>2150</v>
      </c>
    </row>
    <row r="38" spans="2:8" ht="37" x14ac:dyDescent="0.2">
      <c r="B38" s="135" t="s">
        <v>821</v>
      </c>
      <c r="C38" s="135" t="s">
        <v>100</v>
      </c>
      <c r="D38" s="135" t="s">
        <v>867</v>
      </c>
      <c r="E38" s="135" t="s">
        <v>531</v>
      </c>
      <c r="F38" s="135" t="s">
        <v>722</v>
      </c>
      <c r="G38" s="135" t="s">
        <v>841</v>
      </c>
      <c r="H38" s="131">
        <v>2100</v>
      </c>
    </row>
    <row r="39" spans="2:8" ht="37" x14ac:dyDescent="0.2">
      <c r="B39" s="135" t="s">
        <v>821</v>
      </c>
      <c r="C39" s="135" t="s">
        <v>100</v>
      </c>
      <c r="D39" s="135" t="s">
        <v>843</v>
      </c>
      <c r="E39" s="135" t="s">
        <v>137</v>
      </c>
      <c r="F39" s="135" t="s">
        <v>722</v>
      </c>
      <c r="G39" s="135" t="s">
        <v>841</v>
      </c>
      <c r="H39" s="131">
        <v>2100</v>
      </c>
    </row>
    <row r="40" spans="2:8" ht="37" x14ac:dyDescent="0.2">
      <c r="B40" s="135" t="s">
        <v>821</v>
      </c>
      <c r="C40" s="135" t="s">
        <v>100</v>
      </c>
      <c r="D40" s="135" t="s">
        <v>861</v>
      </c>
      <c r="E40" s="135" t="s">
        <v>134</v>
      </c>
      <c r="F40" s="135" t="s">
        <v>722</v>
      </c>
      <c r="G40" s="135" t="s">
        <v>841</v>
      </c>
      <c r="H40" s="131">
        <v>2050</v>
      </c>
    </row>
    <row r="41" spans="2:8" ht="37" x14ac:dyDescent="0.2">
      <c r="B41" s="135" t="s">
        <v>821</v>
      </c>
      <c r="C41" s="135" t="s">
        <v>100</v>
      </c>
      <c r="D41" s="135" t="s">
        <v>863</v>
      </c>
      <c r="E41" s="135" t="s">
        <v>130</v>
      </c>
      <c r="F41" s="135" t="s">
        <v>722</v>
      </c>
      <c r="G41" s="135" t="s">
        <v>841</v>
      </c>
      <c r="H41" s="131">
        <v>2050</v>
      </c>
    </row>
    <row r="42" spans="2:8" ht="37" x14ac:dyDescent="0.2">
      <c r="B42" s="135" t="s">
        <v>821</v>
      </c>
      <c r="C42" s="135" t="s">
        <v>100</v>
      </c>
      <c r="D42" s="135" t="s">
        <v>877</v>
      </c>
      <c r="E42" s="135" t="s">
        <v>1227</v>
      </c>
      <c r="F42" s="135" t="s">
        <v>722</v>
      </c>
      <c r="G42" s="135" t="s">
        <v>841</v>
      </c>
      <c r="H42" s="131">
        <v>2000</v>
      </c>
    </row>
    <row r="43" spans="2:8" ht="37" x14ac:dyDescent="0.2">
      <c r="B43" s="135" t="s">
        <v>821</v>
      </c>
      <c r="C43" s="135" t="s">
        <v>100</v>
      </c>
      <c r="D43" s="135" t="s">
        <v>849</v>
      </c>
      <c r="E43" s="135" t="s">
        <v>141</v>
      </c>
      <c r="F43" s="135" t="s">
        <v>722</v>
      </c>
      <c r="G43" s="135" t="s">
        <v>841</v>
      </c>
      <c r="H43" s="131">
        <v>1900</v>
      </c>
    </row>
    <row r="44" spans="2:8" ht="37" x14ac:dyDescent="0.2">
      <c r="B44" s="135" t="s">
        <v>821</v>
      </c>
      <c r="C44" s="135" t="s">
        <v>100</v>
      </c>
      <c r="D44" s="135" t="s">
        <v>878</v>
      </c>
      <c r="E44" s="135" t="s">
        <v>122</v>
      </c>
      <c r="F44" s="135" t="s">
        <v>722</v>
      </c>
      <c r="G44" s="135" t="s">
        <v>841</v>
      </c>
      <c r="H44" s="131">
        <v>1700</v>
      </c>
    </row>
    <row r="45" spans="2:8" ht="37" x14ac:dyDescent="0.2">
      <c r="B45" s="135" t="s">
        <v>821</v>
      </c>
      <c r="C45" s="135" t="s">
        <v>100</v>
      </c>
      <c r="D45" s="135" t="s">
        <v>869</v>
      </c>
      <c r="E45" s="135" t="s">
        <v>751</v>
      </c>
      <c r="F45" s="135" t="s">
        <v>722</v>
      </c>
      <c r="G45" s="135" t="s">
        <v>841</v>
      </c>
      <c r="H45" s="131">
        <v>1550</v>
      </c>
    </row>
    <row r="46" spans="2:8" ht="37" x14ac:dyDescent="0.2">
      <c r="B46" s="135" t="s">
        <v>821</v>
      </c>
      <c r="C46" s="135" t="s">
        <v>100</v>
      </c>
      <c r="D46" s="135" t="s">
        <v>879</v>
      </c>
      <c r="E46" s="135" t="s">
        <v>108</v>
      </c>
      <c r="F46" s="135" t="s">
        <v>722</v>
      </c>
      <c r="G46" s="135" t="s">
        <v>841</v>
      </c>
      <c r="H46" s="131">
        <v>1500</v>
      </c>
    </row>
    <row r="47" spans="2:8" ht="37" x14ac:dyDescent="0.2">
      <c r="B47" s="135" t="s">
        <v>821</v>
      </c>
      <c r="C47" s="135" t="s">
        <v>100</v>
      </c>
      <c r="D47" s="135" t="s">
        <v>864</v>
      </c>
      <c r="E47" s="135" t="s">
        <v>136</v>
      </c>
      <c r="F47" s="135" t="s">
        <v>722</v>
      </c>
      <c r="G47" s="135" t="s">
        <v>841</v>
      </c>
      <c r="H47" s="131">
        <v>1400</v>
      </c>
    </row>
    <row r="48" spans="2:8" ht="37" x14ac:dyDescent="0.2">
      <c r="B48" s="135" t="s">
        <v>821</v>
      </c>
      <c r="C48" s="135" t="s">
        <v>100</v>
      </c>
      <c r="D48" s="135" t="s">
        <v>847</v>
      </c>
      <c r="E48" s="135" t="s">
        <v>127</v>
      </c>
      <c r="F48" s="135" t="s">
        <v>722</v>
      </c>
      <c r="G48" s="135" t="s">
        <v>841</v>
      </c>
      <c r="H48" s="131">
        <v>1300</v>
      </c>
    </row>
    <row r="49" spans="1:8" ht="37" x14ac:dyDescent="0.2">
      <c r="B49" s="135" t="s">
        <v>821</v>
      </c>
      <c r="C49" s="135" t="s">
        <v>100</v>
      </c>
      <c r="D49" s="135" t="s">
        <v>870</v>
      </c>
      <c r="E49" s="135" t="s">
        <v>145</v>
      </c>
      <c r="F49" s="135" t="s">
        <v>722</v>
      </c>
      <c r="G49" s="135" t="s">
        <v>841</v>
      </c>
      <c r="H49" s="131">
        <v>1100</v>
      </c>
    </row>
    <row r="50" spans="1:8" ht="37" x14ac:dyDescent="0.2">
      <c r="B50" s="135" t="s">
        <v>821</v>
      </c>
      <c r="C50" s="135" t="s">
        <v>100</v>
      </c>
      <c r="D50" s="135" t="s">
        <v>883</v>
      </c>
      <c r="E50" s="135" t="s">
        <v>105</v>
      </c>
      <c r="F50" s="135" t="s">
        <v>722</v>
      </c>
      <c r="G50" s="135" t="s">
        <v>841</v>
      </c>
      <c r="H50" s="131">
        <v>1100</v>
      </c>
    </row>
    <row r="51" spans="1:8" ht="37" x14ac:dyDescent="0.2">
      <c r="B51" s="135" t="s">
        <v>821</v>
      </c>
      <c r="C51" s="135" t="s">
        <v>100</v>
      </c>
      <c r="D51" s="135" t="s">
        <v>888</v>
      </c>
      <c r="E51" s="135" t="s">
        <v>139</v>
      </c>
      <c r="F51" s="135" t="s">
        <v>722</v>
      </c>
      <c r="G51" s="135" t="s">
        <v>841</v>
      </c>
      <c r="H51" s="131">
        <v>1100</v>
      </c>
    </row>
    <row r="52" spans="1:8" ht="37" x14ac:dyDescent="0.2">
      <c r="B52" s="135" t="s">
        <v>821</v>
      </c>
      <c r="C52" s="135" t="s">
        <v>100</v>
      </c>
      <c r="D52" s="135" t="s">
        <v>860</v>
      </c>
      <c r="E52" s="135" t="s">
        <v>107</v>
      </c>
      <c r="F52" s="135" t="s">
        <v>722</v>
      </c>
      <c r="G52" s="135" t="s">
        <v>841</v>
      </c>
      <c r="H52" s="131">
        <v>900</v>
      </c>
    </row>
    <row r="53" spans="1:8" ht="37" x14ac:dyDescent="0.2">
      <c r="B53" s="135" t="s">
        <v>821</v>
      </c>
      <c r="C53" s="135" t="s">
        <v>100</v>
      </c>
      <c r="D53" s="135" t="s">
        <v>881</v>
      </c>
      <c r="E53" s="135" t="s">
        <v>121</v>
      </c>
      <c r="F53" s="135" t="s">
        <v>722</v>
      </c>
      <c r="G53" s="135" t="s">
        <v>841</v>
      </c>
      <c r="H53" s="131">
        <v>850</v>
      </c>
    </row>
    <row r="54" spans="1:8" ht="37" x14ac:dyDescent="0.2">
      <c r="B54" s="135" t="s">
        <v>821</v>
      </c>
      <c r="C54" s="135" t="s">
        <v>100</v>
      </c>
      <c r="D54" s="135" t="s">
        <v>886</v>
      </c>
      <c r="E54" s="135" t="s">
        <v>532</v>
      </c>
      <c r="F54" s="135" t="s">
        <v>722</v>
      </c>
      <c r="G54" s="135" t="s">
        <v>841</v>
      </c>
      <c r="H54" s="131">
        <v>700</v>
      </c>
    </row>
    <row r="55" spans="1:8" ht="37" x14ac:dyDescent="0.2">
      <c r="B55" s="135" t="s">
        <v>821</v>
      </c>
      <c r="C55" s="135" t="s">
        <v>100</v>
      </c>
      <c r="D55" s="135" t="s">
        <v>850</v>
      </c>
      <c r="E55" s="135" t="s">
        <v>511</v>
      </c>
      <c r="F55" s="135" t="s">
        <v>722</v>
      </c>
      <c r="G55" s="135" t="s">
        <v>841</v>
      </c>
      <c r="H55" s="131">
        <v>650</v>
      </c>
    </row>
    <row r="56" spans="1:8" ht="37" x14ac:dyDescent="0.2">
      <c r="B56" s="135" t="s">
        <v>821</v>
      </c>
      <c r="C56" s="135" t="s">
        <v>100</v>
      </c>
      <c r="D56" s="135" t="s">
        <v>853</v>
      </c>
      <c r="E56" s="135" t="s">
        <v>504</v>
      </c>
      <c r="F56" s="135" t="s">
        <v>722</v>
      </c>
      <c r="G56" s="135" t="s">
        <v>841</v>
      </c>
      <c r="H56" s="131">
        <v>650</v>
      </c>
    </row>
    <row r="57" spans="1:8" ht="37" x14ac:dyDescent="0.2">
      <c r="B57" s="135" t="s">
        <v>821</v>
      </c>
      <c r="C57" s="135" t="s">
        <v>100</v>
      </c>
      <c r="D57" s="135" t="s">
        <v>855</v>
      </c>
      <c r="E57" s="135" t="s">
        <v>110</v>
      </c>
      <c r="F57" s="135" t="s">
        <v>722</v>
      </c>
      <c r="G57" s="135" t="s">
        <v>841</v>
      </c>
      <c r="H57" s="131">
        <v>600</v>
      </c>
    </row>
    <row r="58" spans="1:8" x14ac:dyDescent="0.2">
      <c r="B58" s="135" t="s">
        <v>821</v>
      </c>
      <c r="C58" s="135" t="s">
        <v>100</v>
      </c>
      <c r="D58" s="135" t="s">
        <v>842</v>
      </c>
      <c r="E58" s="135" t="s">
        <v>129</v>
      </c>
      <c r="F58" s="135" t="s">
        <v>722</v>
      </c>
      <c r="G58" s="135" t="s">
        <v>2002</v>
      </c>
      <c r="H58" s="131">
        <v>-4800</v>
      </c>
    </row>
    <row r="59" spans="1:8" ht="37" x14ac:dyDescent="0.2">
      <c r="B59" s="135" t="s">
        <v>821</v>
      </c>
      <c r="C59" s="135" t="s">
        <v>100</v>
      </c>
      <c r="D59" s="135" t="s">
        <v>885</v>
      </c>
      <c r="E59" s="135" t="s">
        <v>114</v>
      </c>
      <c r="F59" s="135" t="s">
        <v>722</v>
      </c>
      <c r="G59" s="135" t="s">
        <v>841</v>
      </c>
      <c r="H59" s="131">
        <v>0</v>
      </c>
    </row>
    <row r="60" spans="1:8" ht="37" x14ac:dyDescent="0.2">
      <c r="B60" s="135" t="s">
        <v>821</v>
      </c>
      <c r="C60" s="135" t="s">
        <v>100</v>
      </c>
      <c r="D60" s="135" t="s">
        <v>854</v>
      </c>
      <c r="E60" s="135" t="s">
        <v>118</v>
      </c>
      <c r="F60" s="135" t="s">
        <v>722</v>
      </c>
      <c r="G60" s="135" t="s">
        <v>841</v>
      </c>
      <c r="H60" s="131">
        <v>500</v>
      </c>
    </row>
    <row r="61" spans="1:8" ht="37" x14ac:dyDescent="0.2">
      <c r="B61" s="135" t="s">
        <v>821</v>
      </c>
      <c r="C61" s="135" t="s">
        <v>100</v>
      </c>
      <c r="D61" s="135" t="s">
        <v>882</v>
      </c>
      <c r="E61" s="135" t="s">
        <v>124</v>
      </c>
      <c r="F61" s="135" t="s">
        <v>722</v>
      </c>
      <c r="G61" s="135" t="s">
        <v>841</v>
      </c>
      <c r="H61" s="131">
        <v>550</v>
      </c>
    </row>
    <row r="62" spans="1:8" x14ac:dyDescent="0.2">
      <c r="A62" s="129" t="s">
        <v>891</v>
      </c>
      <c r="H62" s="132">
        <v>169150</v>
      </c>
    </row>
    <row r="63" spans="1:8" x14ac:dyDescent="0.2">
      <c r="A63" s="129" t="s">
        <v>2788</v>
      </c>
    </row>
    <row r="64" spans="1:8" x14ac:dyDescent="0.2">
      <c r="B64" s="135" t="s">
        <v>2780</v>
      </c>
      <c r="C64" s="135" t="s">
        <v>101</v>
      </c>
      <c r="D64" s="135" t="s">
        <v>2789</v>
      </c>
      <c r="E64" s="135"/>
      <c r="F64" s="135" t="s">
        <v>722</v>
      </c>
      <c r="G64" s="135" t="s">
        <v>2790</v>
      </c>
      <c r="H64" s="131">
        <v>100</v>
      </c>
    </row>
    <row r="65" spans="1:8" x14ac:dyDescent="0.2">
      <c r="A65" s="129" t="s">
        <v>2791</v>
      </c>
      <c r="H65" s="132">
        <v>100</v>
      </c>
    </row>
    <row r="66" spans="1:8" x14ac:dyDescent="0.2">
      <c r="A66" s="129" t="s">
        <v>340</v>
      </c>
    </row>
    <row r="67" spans="1:8" x14ac:dyDescent="0.2">
      <c r="B67" s="135" t="s">
        <v>824</v>
      </c>
      <c r="C67" s="135" t="s">
        <v>339</v>
      </c>
      <c r="D67" s="135" t="s">
        <v>892</v>
      </c>
      <c r="E67" s="135"/>
      <c r="F67" s="135" t="s">
        <v>722</v>
      </c>
      <c r="G67" s="135" t="s">
        <v>673</v>
      </c>
      <c r="H67" s="131">
        <v>-168372.97</v>
      </c>
    </row>
    <row r="68" spans="1:8" x14ac:dyDescent="0.2">
      <c r="B68" s="135" t="s">
        <v>824</v>
      </c>
      <c r="C68" s="135" t="s">
        <v>339</v>
      </c>
      <c r="D68" s="135" t="s">
        <v>1083</v>
      </c>
      <c r="E68" s="135"/>
      <c r="F68" s="135" t="s">
        <v>722</v>
      </c>
      <c r="G68" s="135" t="s">
        <v>673</v>
      </c>
      <c r="H68" s="131">
        <v>168372.97</v>
      </c>
    </row>
    <row r="69" spans="1:8" x14ac:dyDescent="0.2">
      <c r="B69" s="135" t="s">
        <v>972</v>
      </c>
      <c r="C69" s="135" t="s">
        <v>339</v>
      </c>
      <c r="D69" s="135" t="s">
        <v>1228</v>
      </c>
      <c r="E69" s="135"/>
      <c r="F69" s="135" t="s">
        <v>722</v>
      </c>
      <c r="G69" s="135" t="s">
        <v>673</v>
      </c>
      <c r="H69" s="131">
        <v>160316.51</v>
      </c>
    </row>
    <row r="70" spans="1:8" x14ac:dyDescent="0.2">
      <c r="B70" s="135" t="s">
        <v>972</v>
      </c>
      <c r="C70" s="135" t="s">
        <v>339</v>
      </c>
      <c r="D70" s="135" t="s">
        <v>1084</v>
      </c>
      <c r="E70" s="135"/>
      <c r="F70" s="135" t="s">
        <v>722</v>
      </c>
      <c r="G70" s="135" t="s">
        <v>673</v>
      </c>
      <c r="H70" s="131">
        <v>-160316.51</v>
      </c>
    </row>
    <row r="71" spans="1:8" x14ac:dyDescent="0.2">
      <c r="B71" s="135" t="s">
        <v>1168</v>
      </c>
      <c r="C71" s="135" t="s">
        <v>339</v>
      </c>
      <c r="D71" s="135" t="s">
        <v>1229</v>
      </c>
      <c r="E71" s="135"/>
      <c r="F71" s="135" t="s">
        <v>722</v>
      </c>
      <c r="G71" s="135" t="s">
        <v>673</v>
      </c>
      <c r="H71" s="131">
        <v>-143538.48000000001</v>
      </c>
    </row>
    <row r="72" spans="1:8" x14ac:dyDescent="0.2">
      <c r="B72" s="135" t="s">
        <v>1168</v>
      </c>
      <c r="C72" s="135" t="s">
        <v>339</v>
      </c>
      <c r="D72" s="135" t="s">
        <v>1419</v>
      </c>
      <c r="E72" s="135"/>
      <c r="F72" s="135" t="s">
        <v>722</v>
      </c>
      <c r="G72" s="135" t="s">
        <v>673</v>
      </c>
      <c r="H72" s="131">
        <v>143538.48000000001</v>
      </c>
    </row>
    <row r="73" spans="1:8" x14ac:dyDescent="0.2">
      <c r="B73" s="135" t="s">
        <v>1369</v>
      </c>
      <c r="C73" s="135" t="s">
        <v>339</v>
      </c>
      <c r="D73" s="135" t="s">
        <v>1420</v>
      </c>
      <c r="E73" s="135"/>
      <c r="F73" s="135" t="s">
        <v>722</v>
      </c>
      <c r="G73" s="135" t="s">
        <v>673</v>
      </c>
      <c r="H73" s="131">
        <v>-129756.32</v>
      </c>
    </row>
    <row r="74" spans="1:8" x14ac:dyDescent="0.2">
      <c r="B74" s="135" t="s">
        <v>1369</v>
      </c>
      <c r="C74" s="135" t="s">
        <v>339</v>
      </c>
      <c r="D74" s="135" t="s">
        <v>1573</v>
      </c>
      <c r="E74" s="135"/>
      <c r="F74" s="135" t="s">
        <v>722</v>
      </c>
      <c r="G74" s="135" t="s">
        <v>673</v>
      </c>
      <c r="H74" s="131">
        <v>129756.32</v>
      </c>
    </row>
    <row r="75" spans="1:8" x14ac:dyDescent="0.2">
      <c r="B75" s="135" t="s">
        <v>1548</v>
      </c>
      <c r="C75" s="135" t="s">
        <v>339</v>
      </c>
      <c r="D75" s="135" t="s">
        <v>1700</v>
      </c>
      <c r="E75" s="135"/>
      <c r="F75" s="135" t="s">
        <v>722</v>
      </c>
      <c r="G75" s="135"/>
      <c r="H75" s="131">
        <v>109583.42</v>
      </c>
    </row>
    <row r="76" spans="1:8" x14ac:dyDescent="0.2">
      <c r="B76" s="135" t="s">
        <v>1548</v>
      </c>
      <c r="C76" s="135" t="s">
        <v>339</v>
      </c>
      <c r="D76" s="135" t="s">
        <v>1574</v>
      </c>
      <c r="E76" s="135"/>
      <c r="F76" s="135" t="s">
        <v>722</v>
      </c>
      <c r="G76" s="135"/>
      <c r="H76" s="131">
        <v>-109583.42</v>
      </c>
    </row>
    <row r="77" spans="1:8" x14ac:dyDescent="0.2">
      <c r="B77" s="135" t="s">
        <v>1624</v>
      </c>
      <c r="C77" s="135" t="s">
        <v>339</v>
      </c>
      <c r="D77" s="135" t="s">
        <v>1701</v>
      </c>
      <c r="E77" s="135"/>
      <c r="F77" s="135" t="s">
        <v>722</v>
      </c>
      <c r="G77" s="135" t="s">
        <v>673</v>
      </c>
      <c r="H77" s="131">
        <v>-96858.42</v>
      </c>
    </row>
    <row r="78" spans="1:8" x14ac:dyDescent="0.2">
      <c r="B78" s="135" t="s">
        <v>1624</v>
      </c>
      <c r="C78" s="135" t="s">
        <v>339</v>
      </c>
      <c r="D78" s="135" t="s">
        <v>2003</v>
      </c>
      <c r="E78" s="135"/>
      <c r="F78" s="135" t="s">
        <v>722</v>
      </c>
      <c r="G78" s="135" t="s">
        <v>673</v>
      </c>
      <c r="H78" s="131">
        <v>96858.42</v>
      </c>
    </row>
    <row r="79" spans="1:8" x14ac:dyDescent="0.2">
      <c r="B79" s="135" t="s">
        <v>1830</v>
      </c>
      <c r="C79" s="135" t="s">
        <v>339</v>
      </c>
      <c r="D79" s="135" t="s">
        <v>2197</v>
      </c>
      <c r="E79" s="135"/>
      <c r="F79" s="135" t="s">
        <v>722</v>
      </c>
      <c r="G79" s="135" t="s">
        <v>673</v>
      </c>
      <c r="H79" s="131">
        <v>82063.23</v>
      </c>
    </row>
    <row r="80" spans="1:8" x14ac:dyDescent="0.2">
      <c r="B80" s="135" t="s">
        <v>1830</v>
      </c>
      <c r="C80" s="135" t="s">
        <v>339</v>
      </c>
      <c r="D80" s="135" t="s">
        <v>2004</v>
      </c>
      <c r="E80" s="135"/>
      <c r="F80" s="135" t="s">
        <v>722</v>
      </c>
      <c r="G80" s="135" t="s">
        <v>673</v>
      </c>
      <c r="H80" s="131">
        <v>-82063.23</v>
      </c>
    </row>
    <row r="81" spans="1:8" x14ac:dyDescent="0.2">
      <c r="B81" s="135" t="s">
        <v>2081</v>
      </c>
      <c r="C81" s="135" t="s">
        <v>339</v>
      </c>
      <c r="D81" s="135" t="s">
        <v>2198</v>
      </c>
      <c r="E81" s="135"/>
      <c r="F81" s="135" t="s">
        <v>722</v>
      </c>
      <c r="G81" s="135" t="s">
        <v>673</v>
      </c>
      <c r="H81" s="131">
        <v>-71946.33</v>
      </c>
    </row>
    <row r="82" spans="1:8" x14ac:dyDescent="0.2">
      <c r="B82" s="135" t="s">
        <v>2081</v>
      </c>
      <c r="C82" s="135" t="s">
        <v>339</v>
      </c>
      <c r="D82" s="135" t="s">
        <v>2297</v>
      </c>
      <c r="E82" s="135"/>
      <c r="F82" s="135" t="s">
        <v>722</v>
      </c>
      <c r="G82" s="135" t="s">
        <v>673</v>
      </c>
      <c r="H82" s="131">
        <v>71946.33</v>
      </c>
    </row>
    <row r="83" spans="1:8" x14ac:dyDescent="0.2">
      <c r="B83" s="135" t="s">
        <v>2240</v>
      </c>
      <c r="C83" s="135" t="s">
        <v>339</v>
      </c>
      <c r="D83" s="135" t="s">
        <v>2437</v>
      </c>
      <c r="E83" s="135"/>
      <c r="F83" s="135" t="s">
        <v>722</v>
      </c>
      <c r="G83" s="135" t="s">
        <v>673</v>
      </c>
      <c r="H83" s="131">
        <v>64571.13</v>
      </c>
    </row>
    <row r="84" spans="1:8" x14ac:dyDescent="0.2">
      <c r="B84" s="135" t="s">
        <v>2240</v>
      </c>
      <c r="C84" s="135" t="s">
        <v>339</v>
      </c>
      <c r="D84" s="135" t="s">
        <v>2298</v>
      </c>
      <c r="E84" s="135"/>
      <c r="F84" s="135" t="s">
        <v>722</v>
      </c>
      <c r="G84" s="135" t="s">
        <v>673</v>
      </c>
      <c r="H84" s="131">
        <v>-64571.13</v>
      </c>
    </row>
    <row r="85" spans="1:8" x14ac:dyDescent="0.2">
      <c r="B85" s="135" t="s">
        <v>2370</v>
      </c>
      <c r="C85" s="135" t="s">
        <v>339</v>
      </c>
      <c r="D85" s="135" t="s">
        <v>2496</v>
      </c>
      <c r="E85" s="135"/>
      <c r="F85" s="135" t="s">
        <v>722</v>
      </c>
      <c r="G85" s="135" t="s">
        <v>673</v>
      </c>
      <c r="H85" s="131">
        <v>-57253.64</v>
      </c>
    </row>
    <row r="86" spans="1:8" x14ac:dyDescent="0.2">
      <c r="B86" s="135" t="s">
        <v>2370</v>
      </c>
      <c r="C86" s="135" t="s">
        <v>339</v>
      </c>
      <c r="D86" s="135" t="s">
        <v>2604</v>
      </c>
      <c r="E86" s="135"/>
      <c r="F86" s="135" t="s">
        <v>722</v>
      </c>
      <c r="G86" s="135" t="s">
        <v>673</v>
      </c>
      <c r="H86" s="131">
        <v>57253.64</v>
      </c>
    </row>
    <row r="87" spans="1:8" x14ac:dyDescent="0.2">
      <c r="B87" s="135" t="s">
        <v>2548</v>
      </c>
      <c r="C87" s="135" t="s">
        <v>339</v>
      </c>
      <c r="D87" s="135" t="s">
        <v>2792</v>
      </c>
      <c r="E87" s="135"/>
      <c r="F87" s="135" t="s">
        <v>722</v>
      </c>
      <c r="G87" s="135" t="s">
        <v>673</v>
      </c>
      <c r="H87" s="131">
        <v>53904.27</v>
      </c>
    </row>
    <row r="88" spans="1:8" x14ac:dyDescent="0.2">
      <c r="B88" s="135" t="s">
        <v>2548</v>
      </c>
      <c r="C88" s="135" t="s">
        <v>339</v>
      </c>
      <c r="D88" s="135" t="s">
        <v>2605</v>
      </c>
      <c r="E88" s="135"/>
      <c r="F88" s="135" t="s">
        <v>722</v>
      </c>
      <c r="G88" s="135" t="s">
        <v>673</v>
      </c>
      <c r="H88" s="131">
        <v>-53904.27</v>
      </c>
    </row>
    <row r="89" spans="1:8" x14ac:dyDescent="0.2">
      <c r="A89" s="129" t="s">
        <v>341</v>
      </c>
      <c r="H89" s="132">
        <v>0</v>
      </c>
    </row>
    <row r="90" spans="1:8" x14ac:dyDescent="0.2">
      <c r="A90" s="129" t="s">
        <v>893</v>
      </c>
      <c r="H90" s="132">
        <v>169250</v>
      </c>
    </row>
    <row r="91" spans="1:8" x14ac:dyDescent="0.2">
      <c r="A91" s="129" t="s">
        <v>482</v>
      </c>
      <c r="H91" s="132">
        <v>169250</v>
      </c>
    </row>
    <row r="92" spans="1:8" x14ac:dyDescent="0.2">
      <c r="A92" s="129" t="s">
        <v>674</v>
      </c>
    </row>
    <row r="93" spans="1:8" x14ac:dyDescent="0.2">
      <c r="A93" s="129" t="s">
        <v>675</v>
      </c>
    </row>
    <row r="94" spans="1:8" x14ac:dyDescent="0.2">
      <c r="A94" s="129" t="s">
        <v>1710</v>
      </c>
    </row>
    <row r="95" spans="1:8" x14ac:dyDescent="0.2">
      <c r="B95" s="135" t="s">
        <v>1711</v>
      </c>
      <c r="C95" s="135" t="s">
        <v>973</v>
      </c>
      <c r="D95" s="135" t="s">
        <v>1712</v>
      </c>
      <c r="E95" s="135" t="s">
        <v>1713</v>
      </c>
      <c r="F95" s="135" t="s">
        <v>722</v>
      </c>
      <c r="G95" s="135" t="s">
        <v>1714</v>
      </c>
      <c r="H95" s="131">
        <v>35000</v>
      </c>
    </row>
    <row r="96" spans="1:8" x14ac:dyDescent="0.2">
      <c r="A96" s="129" t="s">
        <v>1715</v>
      </c>
      <c r="H96" s="132">
        <v>35000</v>
      </c>
    </row>
    <row r="97" spans="1:8" x14ac:dyDescent="0.2">
      <c r="A97" s="129" t="s">
        <v>1092</v>
      </c>
    </row>
    <row r="98" spans="1:8" x14ac:dyDescent="0.2">
      <c r="B98" s="135" t="s">
        <v>1034</v>
      </c>
      <c r="C98" s="135" t="s">
        <v>339</v>
      </c>
      <c r="D98" s="135" t="s">
        <v>1093</v>
      </c>
      <c r="E98" s="135"/>
      <c r="F98" s="135" t="s">
        <v>722</v>
      </c>
      <c r="G98" s="135" t="s">
        <v>1094</v>
      </c>
      <c r="H98" s="131">
        <v>5000</v>
      </c>
    </row>
    <row r="99" spans="1:8" x14ac:dyDescent="0.2">
      <c r="A99" s="129" t="s">
        <v>1095</v>
      </c>
      <c r="H99" s="132">
        <v>5000</v>
      </c>
    </row>
    <row r="100" spans="1:8" x14ac:dyDescent="0.2">
      <c r="A100" s="129" t="s">
        <v>676</v>
      </c>
    </row>
    <row r="101" spans="1:8" x14ac:dyDescent="0.2">
      <c r="B101" s="135" t="s">
        <v>824</v>
      </c>
      <c r="C101" s="135" t="s">
        <v>101</v>
      </c>
      <c r="D101" s="135"/>
      <c r="E101" s="135"/>
      <c r="F101" s="135" t="s">
        <v>722</v>
      </c>
      <c r="G101" s="135"/>
      <c r="H101" s="131">
        <v>1.32</v>
      </c>
    </row>
    <row r="102" spans="1:8" x14ac:dyDescent="0.2">
      <c r="B102" s="135" t="s">
        <v>972</v>
      </c>
      <c r="C102" s="135" t="s">
        <v>339</v>
      </c>
      <c r="D102" s="135" t="s">
        <v>1096</v>
      </c>
      <c r="E102" s="135"/>
      <c r="F102" s="135" t="s">
        <v>722</v>
      </c>
      <c r="G102" s="135"/>
      <c r="H102" s="131">
        <v>1.23</v>
      </c>
    </row>
    <row r="103" spans="1:8" x14ac:dyDescent="0.2">
      <c r="B103" s="135" t="s">
        <v>1168</v>
      </c>
      <c r="C103" s="135" t="s">
        <v>101</v>
      </c>
      <c r="D103" s="135"/>
      <c r="E103" s="135" t="s">
        <v>1421</v>
      </c>
      <c r="F103" s="135" t="s">
        <v>722</v>
      </c>
      <c r="G103" s="135"/>
      <c r="H103" s="131">
        <v>1.32</v>
      </c>
    </row>
    <row r="104" spans="1:8" x14ac:dyDescent="0.2">
      <c r="B104" s="135" t="s">
        <v>1369</v>
      </c>
      <c r="C104" s="135" t="s">
        <v>101</v>
      </c>
      <c r="D104" s="135"/>
      <c r="E104" s="135" t="s">
        <v>1421</v>
      </c>
      <c r="F104" s="135" t="s">
        <v>722</v>
      </c>
      <c r="G104" s="135"/>
      <c r="H104" s="131">
        <v>1.28</v>
      </c>
    </row>
    <row r="105" spans="1:8" x14ac:dyDescent="0.2">
      <c r="B105" s="135" t="s">
        <v>1548</v>
      </c>
      <c r="C105" s="135" t="s">
        <v>101</v>
      </c>
      <c r="D105" s="135"/>
      <c r="E105" s="135" t="s">
        <v>1421</v>
      </c>
      <c r="F105" s="135" t="s">
        <v>722</v>
      </c>
      <c r="G105" s="135"/>
      <c r="H105" s="131">
        <v>1.31</v>
      </c>
    </row>
    <row r="106" spans="1:8" x14ac:dyDescent="0.2">
      <c r="B106" s="135" t="s">
        <v>1624</v>
      </c>
      <c r="C106" s="135" t="s">
        <v>101</v>
      </c>
      <c r="D106" s="135"/>
      <c r="E106" s="135" t="s">
        <v>156</v>
      </c>
      <c r="F106" s="135" t="s">
        <v>722</v>
      </c>
      <c r="G106" s="135"/>
      <c r="H106" s="131">
        <v>1.28</v>
      </c>
    </row>
    <row r="107" spans="1:8" x14ac:dyDescent="0.2">
      <c r="B107" s="135" t="s">
        <v>1830</v>
      </c>
      <c r="C107" s="135" t="s">
        <v>101</v>
      </c>
      <c r="D107" s="135"/>
      <c r="E107" s="135" t="s">
        <v>1421</v>
      </c>
      <c r="F107" s="135" t="s">
        <v>722</v>
      </c>
      <c r="G107" s="135"/>
      <c r="H107" s="131">
        <v>1.1000000000000001</v>
      </c>
    </row>
    <row r="108" spans="1:8" x14ac:dyDescent="0.2">
      <c r="B108" s="135" t="s">
        <v>2081</v>
      </c>
      <c r="C108" s="135" t="s">
        <v>101</v>
      </c>
      <c r="D108" s="135"/>
      <c r="E108" s="135" t="s">
        <v>1421</v>
      </c>
      <c r="F108" s="135" t="s">
        <v>722</v>
      </c>
      <c r="G108" s="135"/>
      <c r="H108" s="131">
        <v>0.82</v>
      </c>
    </row>
    <row r="109" spans="1:8" x14ac:dyDescent="0.2">
      <c r="B109" s="135" t="s">
        <v>2240</v>
      </c>
      <c r="C109" s="135" t="s">
        <v>101</v>
      </c>
      <c r="D109" s="135"/>
      <c r="E109" s="135" t="s">
        <v>1421</v>
      </c>
      <c r="F109" s="135" t="s">
        <v>722</v>
      </c>
      <c r="G109" s="135"/>
      <c r="H109" s="131">
        <v>0.78</v>
      </c>
    </row>
    <row r="110" spans="1:8" x14ac:dyDescent="0.2">
      <c r="B110" s="135" t="s">
        <v>2370</v>
      </c>
      <c r="C110" s="135" t="s">
        <v>101</v>
      </c>
      <c r="D110" s="135"/>
      <c r="E110" s="135" t="s">
        <v>1421</v>
      </c>
      <c r="F110" s="135" t="s">
        <v>722</v>
      </c>
      <c r="G110" s="135"/>
      <c r="H110" s="131">
        <v>0.72</v>
      </c>
    </row>
    <row r="111" spans="1:8" x14ac:dyDescent="0.2">
      <c r="B111" s="135" t="s">
        <v>2548</v>
      </c>
      <c r="C111" s="135" t="s">
        <v>101</v>
      </c>
      <c r="D111" s="135"/>
      <c r="E111" s="135" t="s">
        <v>156</v>
      </c>
      <c r="F111" s="135" t="s">
        <v>722</v>
      </c>
      <c r="G111" s="135"/>
      <c r="H111" s="131">
        <v>0.57999999999999996</v>
      </c>
    </row>
    <row r="112" spans="1:8" x14ac:dyDescent="0.2">
      <c r="B112" s="135" t="s">
        <v>2746</v>
      </c>
      <c r="C112" s="135" t="s">
        <v>101</v>
      </c>
      <c r="D112" s="135"/>
      <c r="E112" s="135" t="s">
        <v>1421</v>
      </c>
      <c r="F112" s="135" t="s">
        <v>722</v>
      </c>
      <c r="G112" s="135"/>
      <c r="H112" s="131">
        <v>0.48</v>
      </c>
    </row>
    <row r="113" spans="1:8" x14ac:dyDescent="0.2">
      <c r="A113" s="129" t="s">
        <v>677</v>
      </c>
      <c r="H113" s="132">
        <v>12.22</v>
      </c>
    </row>
    <row r="114" spans="1:8" x14ac:dyDescent="0.2">
      <c r="A114" s="129" t="s">
        <v>2793</v>
      </c>
    </row>
    <row r="115" spans="1:8" x14ac:dyDescent="0.2">
      <c r="B115" s="135" t="s">
        <v>2794</v>
      </c>
      <c r="C115" s="135" t="s">
        <v>101</v>
      </c>
      <c r="D115" s="135"/>
      <c r="E115" s="135"/>
      <c r="F115" s="135" t="s">
        <v>722</v>
      </c>
      <c r="G115" s="135" t="s">
        <v>2795</v>
      </c>
      <c r="H115" s="131">
        <v>216.02</v>
      </c>
    </row>
    <row r="116" spans="1:8" x14ac:dyDescent="0.2">
      <c r="A116" s="129" t="s">
        <v>2796</v>
      </c>
      <c r="H116" s="132">
        <v>216.02</v>
      </c>
    </row>
    <row r="117" spans="1:8" x14ac:dyDescent="0.2">
      <c r="A117" s="129" t="s">
        <v>678</v>
      </c>
      <c r="H117" s="132">
        <v>40228.239999999998</v>
      </c>
    </row>
    <row r="118" spans="1:8" x14ac:dyDescent="0.2">
      <c r="A118" s="129" t="s">
        <v>679</v>
      </c>
      <c r="H118" s="132">
        <v>40228.239999999998</v>
      </c>
    </row>
    <row r="119" spans="1:8" x14ac:dyDescent="0.2">
      <c r="A119" s="129" t="s">
        <v>348</v>
      </c>
      <c r="H119" s="132">
        <v>209478.24</v>
      </c>
    </row>
    <row r="120" spans="1:8" x14ac:dyDescent="0.2">
      <c r="A120" s="129" t="s">
        <v>352</v>
      </c>
      <c r="H120" s="132">
        <v>209478.24</v>
      </c>
    </row>
    <row r="121" spans="1:8" x14ac:dyDescent="0.2">
      <c r="A121" s="129" t="s">
        <v>353</v>
      </c>
    </row>
    <row r="122" spans="1:8" x14ac:dyDescent="0.2">
      <c r="A122" s="129" t="s">
        <v>363</v>
      </c>
    </row>
    <row r="123" spans="1:8" x14ac:dyDescent="0.2">
      <c r="A123" s="129" t="s">
        <v>364</v>
      </c>
    </row>
    <row r="124" spans="1:8" x14ac:dyDescent="0.2">
      <c r="A124" s="129" t="s">
        <v>680</v>
      </c>
    </row>
    <row r="125" spans="1:8" x14ac:dyDescent="0.2">
      <c r="A125" s="129" t="s">
        <v>681</v>
      </c>
    </row>
    <row r="126" spans="1:8" x14ac:dyDescent="0.2">
      <c r="A126" s="129" t="s">
        <v>682</v>
      </c>
    </row>
    <row r="127" spans="1:8" x14ac:dyDescent="0.2">
      <c r="B127" s="135" t="s">
        <v>832</v>
      </c>
      <c r="C127" s="135" t="s">
        <v>339</v>
      </c>
      <c r="D127" s="135" t="s">
        <v>833</v>
      </c>
      <c r="E127" s="135"/>
      <c r="F127" s="135" t="s">
        <v>722</v>
      </c>
      <c r="G127" s="135" t="s">
        <v>809</v>
      </c>
      <c r="H127" s="131">
        <v>1326.92</v>
      </c>
    </row>
    <row r="128" spans="1:8" x14ac:dyDescent="0.2">
      <c r="B128" s="135" t="s">
        <v>832</v>
      </c>
      <c r="C128" s="135" t="s">
        <v>339</v>
      </c>
      <c r="D128" s="135" t="s">
        <v>835</v>
      </c>
      <c r="E128" s="135"/>
      <c r="F128" s="135" t="s">
        <v>722</v>
      </c>
      <c r="G128" s="135" t="s">
        <v>809</v>
      </c>
      <c r="H128" s="131">
        <v>-1326.92</v>
      </c>
    </row>
    <row r="129" spans="2:8" x14ac:dyDescent="0.2">
      <c r="B129" s="135" t="s">
        <v>826</v>
      </c>
      <c r="C129" s="135" t="s">
        <v>339</v>
      </c>
      <c r="D129" s="135" t="s">
        <v>827</v>
      </c>
      <c r="E129" s="135"/>
      <c r="F129" s="135" t="s">
        <v>722</v>
      </c>
      <c r="G129" s="135" t="s">
        <v>828</v>
      </c>
      <c r="H129" s="131">
        <v>1326.92</v>
      </c>
    </row>
    <row r="130" spans="2:8" x14ac:dyDescent="0.2">
      <c r="B130" s="135" t="s">
        <v>829</v>
      </c>
      <c r="C130" s="135" t="s">
        <v>339</v>
      </c>
      <c r="D130" s="135" t="s">
        <v>830</v>
      </c>
      <c r="E130" s="135"/>
      <c r="F130" s="135" t="s">
        <v>722</v>
      </c>
      <c r="G130" s="135" t="s">
        <v>831</v>
      </c>
      <c r="H130" s="131">
        <v>1326.92</v>
      </c>
    </row>
    <row r="131" spans="2:8" x14ac:dyDescent="0.2">
      <c r="B131" s="135" t="s">
        <v>1015</v>
      </c>
      <c r="C131" s="135" t="s">
        <v>339</v>
      </c>
      <c r="D131" s="135" t="s">
        <v>1016</v>
      </c>
      <c r="E131" s="135"/>
      <c r="F131" s="135" t="s">
        <v>722</v>
      </c>
      <c r="G131" s="135" t="s">
        <v>1017</v>
      </c>
      <c r="H131" s="131">
        <v>1326.92</v>
      </c>
    </row>
    <row r="132" spans="2:8" x14ac:dyDescent="0.2">
      <c r="B132" s="135" t="s">
        <v>972</v>
      </c>
      <c r="C132" s="135" t="s">
        <v>339</v>
      </c>
      <c r="D132" s="135" t="s">
        <v>1018</v>
      </c>
      <c r="E132" s="135"/>
      <c r="F132" s="135" t="s">
        <v>722</v>
      </c>
      <c r="G132" s="135" t="s">
        <v>1019</v>
      </c>
      <c r="H132" s="131">
        <v>1326.92</v>
      </c>
    </row>
    <row r="133" spans="2:8" x14ac:dyDescent="0.2">
      <c r="B133" s="135" t="s">
        <v>1173</v>
      </c>
      <c r="C133" s="135" t="s">
        <v>339</v>
      </c>
      <c r="D133" s="135" t="s">
        <v>1174</v>
      </c>
      <c r="E133" s="135"/>
      <c r="F133" s="135" t="s">
        <v>722</v>
      </c>
      <c r="G133" s="135" t="s">
        <v>1175</v>
      </c>
      <c r="H133" s="131">
        <v>1326.92</v>
      </c>
    </row>
    <row r="134" spans="2:8" x14ac:dyDescent="0.2">
      <c r="B134" s="135" t="s">
        <v>1176</v>
      </c>
      <c r="C134" s="135" t="s">
        <v>339</v>
      </c>
      <c r="D134" s="135" t="s">
        <v>1177</v>
      </c>
      <c r="E134" s="135"/>
      <c r="F134" s="135" t="s">
        <v>722</v>
      </c>
      <c r="G134" s="135" t="s">
        <v>1178</v>
      </c>
      <c r="H134" s="131">
        <v>1326.92</v>
      </c>
    </row>
    <row r="135" spans="2:8" x14ac:dyDescent="0.2">
      <c r="B135" s="135" t="s">
        <v>1168</v>
      </c>
      <c r="C135" s="135" t="s">
        <v>339</v>
      </c>
      <c r="D135" s="135" t="s">
        <v>1360</v>
      </c>
      <c r="E135" s="135"/>
      <c r="F135" s="135" t="s">
        <v>722</v>
      </c>
      <c r="G135" s="135" t="s">
        <v>1361</v>
      </c>
      <c r="H135" s="131">
        <v>1076.5</v>
      </c>
    </row>
    <row r="136" spans="2:8" x14ac:dyDescent="0.2">
      <c r="B136" s="135" t="s">
        <v>1362</v>
      </c>
      <c r="C136" s="135" t="s">
        <v>339</v>
      </c>
      <c r="D136" s="135" t="s">
        <v>1364</v>
      </c>
      <c r="E136" s="135"/>
      <c r="F136" s="135" t="s">
        <v>722</v>
      </c>
      <c r="G136" s="135" t="s">
        <v>1361</v>
      </c>
      <c r="H136" s="131">
        <v>-1076.5</v>
      </c>
    </row>
    <row r="137" spans="2:8" x14ac:dyDescent="0.2">
      <c r="B137" s="135" t="s">
        <v>1362</v>
      </c>
      <c r="C137" s="135" t="s">
        <v>339</v>
      </c>
      <c r="D137" s="135" t="s">
        <v>1363</v>
      </c>
      <c r="E137" s="135"/>
      <c r="F137" s="135" t="s">
        <v>722</v>
      </c>
      <c r="G137" s="135" t="s">
        <v>1361</v>
      </c>
      <c r="H137" s="131">
        <v>1326.92</v>
      </c>
    </row>
    <row r="138" spans="2:8" x14ac:dyDescent="0.2">
      <c r="B138" s="135" t="s">
        <v>1312</v>
      </c>
      <c r="C138" s="135" t="s">
        <v>339</v>
      </c>
      <c r="D138" s="135" t="s">
        <v>1365</v>
      </c>
      <c r="E138" s="135"/>
      <c r="F138" s="135" t="s">
        <v>722</v>
      </c>
      <c r="G138" s="135" t="s">
        <v>1366</v>
      </c>
      <c r="H138" s="131">
        <v>1326.92</v>
      </c>
    </row>
    <row r="139" spans="2:8" x14ac:dyDescent="0.2">
      <c r="B139" s="135" t="s">
        <v>1542</v>
      </c>
      <c r="C139" s="135" t="s">
        <v>339</v>
      </c>
      <c r="D139" s="135" t="s">
        <v>1543</v>
      </c>
      <c r="E139" s="135"/>
      <c r="F139" s="135" t="s">
        <v>722</v>
      </c>
      <c r="G139" s="135" t="s">
        <v>1544</v>
      </c>
      <c r="H139" s="131">
        <v>1326.92</v>
      </c>
    </row>
    <row r="140" spans="2:8" x14ac:dyDescent="0.2">
      <c r="B140" s="135" t="s">
        <v>1545</v>
      </c>
      <c r="C140" s="135" t="s">
        <v>339</v>
      </c>
      <c r="D140" s="135" t="s">
        <v>1546</v>
      </c>
      <c r="E140" s="135"/>
      <c r="F140" s="135" t="s">
        <v>722</v>
      </c>
      <c r="G140" s="135" t="s">
        <v>1547</v>
      </c>
      <c r="H140" s="131">
        <v>1326.92</v>
      </c>
    </row>
    <row r="141" spans="2:8" x14ac:dyDescent="0.2">
      <c r="B141" s="135" t="s">
        <v>1548</v>
      </c>
      <c r="C141" s="135" t="s">
        <v>339</v>
      </c>
      <c r="D141" s="135" t="s">
        <v>1549</v>
      </c>
      <c r="E141" s="135"/>
      <c r="F141" s="135" t="s">
        <v>722</v>
      </c>
      <c r="G141" s="135" t="s">
        <v>1550</v>
      </c>
      <c r="H141" s="131">
        <v>1326.92</v>
      </c>
    </row>
    <row r="142" spans="2:8" x14ac:dyDescent="0.2">
      <c r="B142" s="135" t="s">
        <v>1608</v>
      </c>
      <c r="C142" s="135" t="s">
        <v>339</v>
      </c>
      <c r="D142" s="135" t="s">
        <v>1656</v>
      </c>
      <c r="E142" s="135"/>
      <c r="F142" s="135" t="s">
        <v>722</v>
      </c>
      <c r="G142" s="135" t="s">
        <v>1550</v>
      </c>
      <c r="H142" s="131">
        <v>1326.92</v>
      </c>
    </row>
    <row r="143" spans="2:8" x14ac:dyDescent="0.2">
      <c r="B143" s="135" t="s">
        <v>1608</v>
      </c>
      <c r="C143" s="135" t="s">
        <v>339</v>
      </c>
      <c r="D143" s="135" t="s">
        <v>1655</v>
      </c>
      <c r="E143" s="135"/>
      <c r="F143" s="135" t="s">
        <v>722</v>
      </c>
      <c r="G143" s="135" t="s">
        <v>1550</v>
      </c>
      <c r="H143" s="131">
        <v>-1326.92</v>
      </c>
    </row>
    <row r="144" spans="2:8" x14ac:dyDescent="0.2">
      <c r="B144" s="135" t="s">
        <v>1643</v>
      </c>
      <c r="C144" s="135" t="s">
        <v>339</v>
      </c>
      <c r="D144" s="135" t="s">
        <v>1644</v>
      </c>
      <c r="E144" s="135"/>
      <c r="F144" s="135" t="s">
        <v>722</v>
      </c>
      <c r="G144" s="135" t="s">
        <v>1645</v>
      </c>
      <c r="H144" s="131">
        <v>1326.92</v>
      </c>
    </row>
    <row r="145" spans="2:8" x14ac:dyDescent="0.2">
      <c r="B145" s="135" t="s">
        <v>1624</v>
      </c>
      <c r="C145" s="135" t="s">
        <v>339</v>
      </c>
      <c r="D145" s="135" t="s">
        <v>1651</v>
      </c>
      <c r="E145" s="135"/>
      <c r="F145" s="135" t="s">
        <v>722</v>
      </c>
      <c r="G145" s="135" t="s">
        <v>1652</v>
      </c>
      <c r="H145" s="131">
        <v>1326.92</v>
      </c>
    </row>
    <row r="146" spans="2:8" x14ac:dyDescent="0.2">
      <c r="B146" s="135" t="s">
        <v>1789</v>
      </c>
      <c r="C146" s="135" t="s">
        <v>339</v>
      </c>
      <c r="D146" s="135" t="s">
        <v>1852</v>
      </c>
      <c r="E146" s="135"/>
      <c r="F146" s="135" t="s">
        <v>722</v>
      </c>
      <c r="G146" s="135" t="s">
        <v>1652</v>
      </c>
      <c r="H146" s="131">
        <v>1326.92</v>
      </c>
    </row>
    <row r="147" spans="2:8" x14ac:dyDescent="0.2">
      <c r="B147" s="135" t="s">
        <v>1789</v>
      </c>
      <c r="C147" s="135" t="s">
        <v>339</v>
      </c>
      <c r="D147" s="135" t="s">
        <v>1853</v>
      </c>
      <c r="E147" s="135"/>
      <c r="F147" s="135" t="s">
        <v>722</v>
      </c>
      <c r="G147" s="135" t="s">
        <v>1652</v>
      </c>
      <c r="H147" s="131">
        <v>-1326.92</v>
      </c>
    </row>
    <row r="148" spans="2:8" x14ac:dyDescent="0.2">
      <c r="B148" s="135" t="s">
        <v>1854</v>
      </c>
      <c r="C148" s="135" t="s">
        <v>339</v>
      </c>
      <c r="D148" s="135" t="s">
        <v>1855</v>
      </c>
      <c r="E148" s="135"/>
      <c r="F148" s="135" t="s">
        <v>722</v>
      </c>
      <c r="G148" s="135" t="s">
        <v>1856</v>
      </c>
      <c r="H148" s="131">
        <v>1326.92</v>
      </c>
    </row>
    <row r="149" spans="2:8" x14ac:dyDescent="0.2">
      <c r="B149" s="135" t="s">
        <v>1830</v>
      </c>
      <c r="C149" s="135" t="s">
        <v>339</v>
      </c>
      <c r="D149" s="135" t="s">
        <v>1847</v>
      </c>
      <c r="E149" s="135"/>
      <c r="F149" s="135" t="s">
        <v>722</v>
      </c>
      <c r="G149" s="135"/>
      <c r="H149" s="131">
        <v>1326.92</v>
      </c>
    </row>
    <row r="150" spans="2:8" x14ac:dyDescent="0.2">
      <c r="B150" s="135" t="s">
        <v>2097</v>
      </c>
      <c r="C150" s="135" t="s">
        <v>339</v>
      </c>
      <c r="D150" s="135" t="s">
        <v>2098</v>
      </c>
      <c r="E150" s="135"/>
      <c r="F150" s="135" t="s">
        <v>722</v>
      </c>
      <c r="G150" s="135"/>
      <c r="H150" s="131">
        <v>-1326.92</v>
      </c>
    </row>
    <row r="151" spans="2:8" x14ac:dyDescent="0.2">
      <c r="B151" s="135" t="s">
        <v>2097</v>
      </c>
      <c r="C151" s="135" t="s">
        <v>339</v>
      </c>
      <c r="D151" s="135" t="s">
        <v>2099</v>
      </c>
      <c r="E151" s="135"/>
      <c r="F151" s="135" t="s">
        <v>722</v>
      </c>
      <c r="G151" s="135" t="s">
        <v>2100</v>
      </c>
      <c r="H151" s="131">
        <v>1326.92</v>
      </c>
    </row>
    <row r="152" spans="2:8" x14ac:dyDescent="0.2">
      <c r="B152" s="135" t="s">
        <v>2101</v>
      </c>
      <c r="C152" s="135" t="s">
        <v>339</v>
      </c>
      <c r="D152" s="135" t="s">
        <v>2102</v>
      </c>
      <c r="E152" s="135"/>
      <c r="F152" s="135" t="s">
        <v>722</v>
      </c>
      <c r="G152" s="135" t="s">
        <v>2103</v>
      </c>
      <c r="H152" s="131">
        <v>1326.92</v>
      </c>
    </row>
    <row r="153" spans="2:8" x14ac:dyDescent="0.2">
      <c r="B153" s="135" t="s">
        <v>2104</v>
      </c>
      <c r="C153" s="135" t="s">
        <v>339</v>
      </c>
      <c r="D153" s="135" t="s">
        <v>2105</v>
      </c>
      <c r="E153" s="135"/>
      <c r="F153" s="135" t="s">
        <v>722</v>
      </c>
      <c r="G153" s="135" t="s">
        <v>2106</v>
      </c>
      <c r="H153" s="131">
        <v>1326.92</v>
      </c>
    </row>
    <row r="154" spans="2:8" x14ac:dyDescent="0.2">
      <c r="B154" s="135" t="s">
        <v>2254</v>
      </c>
      <c r="C154" s="135" t="s">
        <v>339</v>
      </c>
      <c r="D154" s="135" t="s">
        <v>2255</v>
      </c>
      <c r="E154" s="135"/>
      <c r="F154" s="135" t="s">
        <v>722</v>
      </c>
      <c r="G154" s="135" t="s">
        <v>2256</v>
      </c>
      <c r="H154" s="131">
        <v>1326.92</v>
      </c>
    </row>
    <row r="155" spans="2:8" x14ac:dyDescent="0.2">
      <c r="B155" s="135" t="s">
        <v>2251</v>
      </c>
      <c r="C155" s="135" t="s">
        <v>339</v>
      </c>
      <c r="D155" s="135" t="s">
        <v>2252</v>
      </c>
      <c r="E155" s="135"/>
      <c r="F155" s="135" t="s">
        <v>722</v>
      </c>
      <c r="G155" s="135" t="s">
        <v>2253</v>
      </c>
      <c r="H155" s="131">
        <v>1326.92</v>
      </c>
    </row>
    <row r="156" spans="2:8" ht="25" x14ac:dyDescent="0.2">
      <c r="B156" s="135" t="s">
        <v>2240</v>
      </c>
      <c r="C156" s="135" t="s">
        <v>339</v>
      </c>
      <c r="D156" s="135" t="s">
        <v>2365</v>
      </c>
      <c r="E156" s="135"/>
      <c r="F156" s="135" t="s">
        <v>722</v>
      </c>
      <c r="G156" s="135" t="s">
        <v>2366</v>
      </c>
      <c r="H156" s="131">
        <v>530.77</v>
      </c>
    </row>
    <row r="157" spans="2:8" x14ac:dyDescent="0.2">
      <c r="B157" s="135" t="s">
        <v>2340</v>
      </c>
      <c r="C157" s="135" t="s">
        <v>339</v>
      </c>
      <c r="D157" s="135" t="s">
        <v>2367</v>
      </c>
      <c r="E157" s="135"/>
      <c r="F157" s="135" t="s">
        <v>722</v>
      </c>
      <c r="G157" s="135" t="s">
        <v>2368</v>
      </c>
      <c r="H157" s="131">
        <v>1326.92</v>
      </c>
    </row>
    <row r="158" spans="2:8" ht="25" x14ac:dyDescent="0.2">
      <c r="B158" s="135" t="s">
        <v>2340</v>
      </c>
      <c r="C158" s="135" t="s">
        <v>339</v>
      </c>
      <c r="D158" s="135" t="s">
        <v>2369</v>
      </c>
      <c r="E158" s="135"/>
      <c r="F158" s="135" t="s">
        <v>722</v>
      </c>
      <c r="G158" s="135" t="s">
        <v>2366</v>
      </c>
      <c r="H158" s="131">
        <v>-530.77</v>
      </c>
    </row>
    <row r="159" spans="2:8" x14ac:dyDescent="0.2">
      <c r="B159" s="135" t="s">
        <v>2361</v>
      </c>
      <c r="C159" s="135" t="s">
        <v>339</v>
      </c>
      <c r="D159" s="135" t="s">
        <v>2362</v>
      </c>
      <c r="E159" s="135"/>
      <c r="F159" s="135" t="s">
        <v>722</v>
      </c>
      <c r="G159" s="135" t="s">
        <v>2363</v>
      </c>
      <c r="H159" s="131">
        <v>1326.92</v>
      </c>
    </row>
    <row r="160" spans="2:8" x14ac:dyDescent="0.2">
      <c r="B160" s="135" t="s">
        <v>2370</v>
      </c>
      <c r="C160" s="135" t="s">
        <v>339</v>
      </c>
      <c r="D160" s="135" t="s">
        <v>2371</v>
      </c>
      <c r="E160" s="135"/>
      <c r="F160" s="135" t="s">
        <v>722</v>
      </c>
      <c r="G160" s="135" t="s">
        <v>2372</v>
      </c>
      <c r="H160" s="131">
        <v>1194.23</v>
      </c>
    </row>
    <row r="161" spans="1:8" x14ac:dyDescent="0.2">
      <c r="B161" s="135" t="s">
        <v>2553</v>
      </c>
      <c r="C161" s="135" t="s">
        <v>339</v>
      </c>
      <c r="D161" s="135" t="s">
        <v>2568</v>
      </c>
      <c r="E161" s="135"/>
      <c r="F161" s="135" t="s">
        <v>722</v>
      </c>
      <c r="G161" s="135" t="s">
        <v>2372</v>
      </c>
      <c r="H161" s="131">
        <v>-1194.23</v>
      </c>
    </row>
    <row r="162" spans="1:8" x14ac:dyDescent="0.2">
      <c r="B162" s="135" t="s">
        <v>2553</v>
      </c>
      <c r="C162" s="135" t="s">
        <v>339</v>
      </c>
      <c r="D162" s="135" t="s">
        <v>2566</v>
      </c>
      <c r="E162" s="135"/>
      <c r="F162" s="135" t="s">
        <v>722</v>
      </c>
      <c r="G162" s="135" t="s">
        <v>2567</v>
      </c>
      <c r="H162" s="131">
        <v>1326.92</v>
      </c>
    </row>
    <row r="163" spans="1:8" x14ac:dyDescent="0.2">
      <c r="B163" s="135" t="s">
        <v>2569</v>
      </c>
      <c r="C163" s="135" t="s">
        <v>339</v>
      </c>
      <c r="D163" s="135" t="s">
        <v>2570</v>
      </c>
      <c r="E163" s="135"/>
      <c r="F163" s="135" t="s">
        <v>722</v>
      </c>
      <c r="G163" s="135" t="s">
        <v>2571</v>
      </c>
      <c r="H163" s="131">
        <v>1326.92</v>
      </c>
    </row>
    <row r="164" spans="1:8" x14ac:dyDescent="0.2">
      <c r="B164" s="135" t="s">
        <v>2548</v>
      </c>
      <c r="C164" s="135" t="s">
        <v>339</v>
      </c>
      <c r="D164" s="135" t="s">
        <v>2572</v>
      </c>
      <c r="E164" s="135"/>
      <c r="F164" s="135" t="s">
        <v>722</v>
      </c>
      <c r="G164" s="135" t="s">
        <v>2573</v>
      </c>
      <c r="H164" s="131">
        <v>1194.23</v>
      </c>
    </row>
    <row r="165" spans="1:8" x14ac:dyDescent="0.2">
      <c r="B165" s="135" t="s">
        <v>2737</v>
      </c>
      <c r="C165" s="135" t="s">
        <v>339</v>
      </c>
      <c r="D165" s="135" t="s">
        <v>2753</v>
      </c>
      <c r="E165" s="135"/>
      <c r="F165" s="135" t="s">
        <v>722</v>
      </c>
      <c r="G165" s="135" t="s">
        <v>2754</v>
      </c>
      <c r="H165" s="131">
        <v>1326.92</v>
      </c>
    </row>
    <row r="166" spans="1:8" x14ac:dyDescent="0.2">
      <c r="B166" s="135" t="s">
        <v>2755</v>
      </c>
      <c r="C166" s="135" t="s">
        <v>339</v>
      </c>
      <c r="D166" s="135" t="s">
        <v>2756</v>
      </c>
      <c r="E166" s="135"/>
      <c r="F166" s="135" t="s">
        <v>722</v>
      </c>
      <c r="G166" s="135" t="s">
        <v>2573</v>
      </c>
      <c r="H166" s="131">
        <v>-1194.23</v>
      </c>
    </row>
    <row r="167" spans="1:8" x14ac:dyDescent="0.2">
      <c r="B167" s="135" t="s">
        <v>2757</v>
      </c>
      <c r="C167" s="135" t="s">
        <v>339</v>
      </c>
      <c r="D167" s="135" t="s">
        <v>2758</v>
      </c>
      <c r="E167" s="135"/>
      <c r="F167" s="135" t="s">
        <v>722</v>
      </c>
      <c r="G167" s="135" t="s">
        <v>2759</v>
      </c>
      <c r="H167" s="131">
        <v>1326.92</v>
      </c>
    </row>
    <row r="168" spans="1:8" x14ac:dyDescent="0.2">
      <c r="B168" s="135" t="s">
        <v>2741</v>
      </c>
      <c r="C168" s="135" t="s">
        <v>339</v>
      </c>
      <c r="D168" s="135" t="s">
        <v>2760</v>
      </c>
      <c r="E168" s="135"/>
      <c r="F168" s="135" t="s">
        <v>722</v>
      </c>
      <c r="G168" s="135" t="s">
        <v>2761</v>
      </c>
      <c r="H168" s="131">
        <v>1326.92</v>
      </c>
    </row>
    <row r="169" spans="1:8" x14ac:dyDescent="0.2">
      <c r="A169" s="129" t="s">
        <v>683</v>
      </c>
      <c r="H169" s="132">
        <v>34499.919999999998</v>
      </c>
    </row>
    <row r="170" spans="1:8" x14ac:dyDescent="0.2">
      <c r="A170" s="129" t="s">
        <v>801</v>
      </c>
    </row>
    <row r="171" spans="1:8" x14ac:dyDescent="0.2">
      <c r="B171" s="135" t="s">
        <v>832</v>
      </c>
      <c r="C171" s="135" t="s">
        <v>339</v>
      </c>
      <c r="D171" s="135" t="s">
        <v>833</v>
      </c>
      <c r="E171" s="135"/>
      <c r="F171" s="135" t="s">
        <v>722</v>
      </c>
      <c r="G171" s="135" t="s">
        <v>809</v>
      </c>
      <c r="H171" s="131">
        <v>673.08</v>
      </c>
    </row>
    <row r="172" spans="1:8" x14ac:dyDescent="0.2">
      <c r="B172" s="135" t="s">
        <v>832</v>
      </c>
      <c r="C172" s="135" t="s">
        <v>339</v>
      </c>
      <c r="D172" s="135" t="s">
        <v>835</v>
      </c>
      <c r="E172" s="135"/>
      <c r="F172" s="135" t="s">
        <v>722</v>
      </c>
      <c r="G172" s="135" t="s">
        <v>809</v>
      </c>
      <c r="H172" s="131">
        <v>-673.08</v>
      </c>
    </row>
    <row r="173" spans="1:8" x14ac:dyDescent="0.2">
      <c r="B173" s="135" t="s">
        <v>826</v>
      </c>
      <c r="C173" s="135" t="s">
        <v>339</v>
      </c>
      <c r="D173" s="135" t="s">
        <v>827</v>
      </c>
      <c r="E173" s="135"/>
      <c r="F173" s="135" t="s">
        <v>722</v>
      </c>
      <c r="G173" s="135" t="s">
        <v>828</v>
      </c>
      <c r="H173" s="131">
        <v>673.08</v>
      </c>
    </row>
    <row r="174" spans="1:8" x14ac:dyDescent="0.2">
      <c r="B174" s="135" t="s">
        <v>829</v>
      </c>
      <c r="C174" s="135" t="s">
        <v>339</v>
      </c>
      <c r="D174" s="135" t="s">
        <v>830</v>
      </c>
      <c r="E174" s="135"/>
      <c r="F174" s="135" t="s">
        <v>722</v>
      </c>
      <c r="G174" s="135" t="s">
        <v>831</v>
      </c>
      <c r="H174" s="131">
        <v>673.08</v>
      </c>
    </row>
    <row r="175" spans="1:8" x14ac:dyDescent="0.2">
      <c r="B175" s="135" t="s">
        <v>1015</v>
      </c>
      <c r="C175" s="135" t="s">
        <v>339</v>
      </c>
      <c r="D175" s="135" t="s">
        <v>1016</v>
      </c>
      <c r="E175" s="135"/>
      <c r="F175" s="135" t="s">
        <v>722</v>
      </c>
      <c r="G175" s="135" t="s">
        <v>1017</v>
      </c>
      <c r="H175" s="131">
        <v>673.08</v>
      </c>
    </row>
    <row r="176" spans="1:8" x14ac:dyDescent="0.2">
      <c r="B176" s="135" t="s">
        <v>972</v>
      </c>
      <c r="C176" s="135" t="s">
        <v>339</v>
      </c>
      <c r="D176" s="135" t="s">
        <v>1018</v>
      </c>
      <c r="E176" s="135"/>
      <c r="F176" s="135" t="s">
        <v>722</v>
      </c>
      <c r="G176" s="135" t="s">
        <v>1019</v>
      </c>
      <c r="H176" s="131">
        <v>673.08</v>
      </c>
    </row>
    <row r="177" spans="2:8" x14ac:dyDescent="0.2">
      <c r="B177" s="135" t="s">
        <v>1173</v>
      </c>
      <c r="C177" s="135" t="s">
        <v>339</v>
      </c>
      <c r="D177" s="135" t="s">
        <v>1174</v>
      </c>
      <c r="E177" s="135"/>
      <c r="F177" s="135" t="s">
        <v>722</v>
      </c>
      <c r="G177" s="135" t="s">
        <v>1175</v>
      </c>
      <c r="H177" s="131">
        <v>673.08</v>
      </c>
    </row>
    <row r="178" spans="2:8" x14ac:dyDescent="0.2">
      <c r="B178" s="135" t="s">
        <v>1176</v>
      </c>
      <c r="C178" s="135" t="s">
        <v>339</v>
      </c>
      <c r="D178" s="135" t="s">
        <v>1177</v>
      </c>
      <c r="E178" s="135"/>
      <c r="F178" s="135" t="s">
        <v>722</v>
      </c>
      <c r="G178" s="135" t="s">
        <v>1178</v>
      </c>
      <c r="H178" s="131">
        <v>673.08</v>
      </c>
    </row>
    <row r="179" spans="2:8" x14ac:dyDescent="0.2">
      <c r="B179" s="135" t="s">
        <v>1362</v>
      </c>
      <c r="C179" s="135" t="s">
        <v>339</v>
      </c>
      <c r="D179" s="135" t="s">
        <v>1363</v>
      </c>
      <c r="E179" s="135"/>
      <c r="F179" s="135" t="s">
        <v>722</v>
      </c>
      <c r="G179" s="135" t="s">
        <v>1361</v>
      </c>
      <c r="H179" s="131">
        <v>673.08</v>
      </c>
    </row>
    <row r="180" spans="2:8" x14ac:dyDescent="0.2">
      <c r="B180" s="135" t="s">
        <v>1312</v>
      </c>
      <c r="C180" s="135" t="s">
        <v>339</v>
      </c>
      <c r="D180" s="135" t="s">
        <v>1365</v>
      </c>
      <c r="E180" s="135"/>
      <c r="F180" s="135" t="s">
        <v>722</v>
      </c>
      <c r="G180" s="135" t="s">
        <v>1366</v>
      </c>
      <c r="H180" s="131">
        <v>673.08</v>
      </c>
    </row>
    <row r="181" spans="2:8" x14ac:dyDescent="0.2">
      <c r="B181" s="135" t="s">
        <v>1542</v>
      </c>
      <c r="C181" s="135" t="s">
        <v>339</v>
      </c>
      <c r="D181" s="135" t="s">
        <v>1543</v>
      </c>
      <c r="E181" s="135"/>
      <c r="F181" s="135" t="s">
        <v>722</v>
      </c>
      <c r="G181" s="135" t="s">
        <v>1544</v>
      </c>
      <c r="H181" s="131">
        <v>673.08</v>
      </c>
    </row>
    <row r="182" spans="2:8" x14ac:dyDescent="0.2">
      <c r="B182" s="135" t="s">
        <v>1545</v>
      </c>
      <c r="C182" s="135" t="s">
        <v>339</v>
      </c>
      <c r="D182" s="135" t="s">
        <v>1546</v>
      </c>
      <c r="E182" s="135"/>
      <c r="F182" s="135" t="s">
        <v>722</v>
      </c>
      <c r="G182" s="135" t="s">
        <v>1547</v>
      </c>
      <c r="H182" s="131">
        <v>673.08</v>
      </c>
    </row>
    <row r="183" spans="2:8" x14ac:dyDescent="0.2">
      <c r="B183" s="135" t="s">
        <v>1548</v>
      </c>
      <c r="C183" s="135" t="s">
        <v>339</v>
      </c>
      <c r="D183" s="135" t="s">
        <v>1549</v>
      </c>
      <c r="E183" s="135"/>
      <c r="F183" s="135" t="s">
        <v>722</v>
      </c>
      <c r="G183" s="135" t="s">
        <v>1550</v>
      </c>
      <c r="H183" s="131">
        <v>673.08</v>
      </c>
    </row>
    <row r="184" spans="2:8" x14ac:dyDescent="0.2">
      <c r="B184" s="135" t="s">
        <v>1608</v>
      </c>
      <c r="C184" s="135" t="s">
        <v>339</v>
      </c>
      <c r="D184" s="135" t="s">
        <v>1655</v>
      </c>
      <c r="E184" s="135"/>
      <c r="F184" s="135" t="s">
        <v>722</v>
      </c>
      <c r="G184" s="135" t="s">
        <v>1550</v>
      </c>
      <c r="H184" s="131">
        <v>-673.08</v>
      </c>
    </row>
    <row r="185" spans="2:8" x14ac:dyDescent="0.2">
      <c r="B185" s="135" t="s">
        <v>1608</v>
      </c>
      <c r="C185" s="135" t="s">
        <v>339</v>
      </c>
      <c r="D185" s="135" t="s">
        <v>1656</v>
      </c>
      <c r="E185" s="135"/>
      <c r="F185" s="135" t="s">
        <v>722</v>
      </c>
      <c r="G185" s="135" t="s">
        <v>1550</v>
      </c>
      <c r="H185" s="131">
        <v>673.08</v>
      </c>
    </row>
    <row r="186" spans="2:8" x14ac:dyDescent="0.2">
      <c r="B186" s="135" t="s">
        <v>1643</v>
      </c>
      <c r="C186" s="135" t="s">
        <v>339</v>
      </c>
      <c r="D186" s="135" t="s">
        <v>1644</v>
      </c>
      <c r="E186" s="135"/>
      <c r="F186" s="135" t="s">
        <v>722</v>
      </c>
      <c r="G186" s="135" t="s">
        <v>1645</v>
      </c>
      <c r="H186" s="131">
        <v>673.08</v>
      </c>
    </row>
    <row r="187" spans="2:8" x14ac:dyDescent="0.2">
      <c r="B187" s="135" t="s">
        <v>1624</v>
      </c>
      <c r="C187" s="135" t="s">
        <v>339</v>
      </c>
      <c r="D187" s="135" t="s">
        <v>1651</v>
      </c>
      <c r="E187" s="135"/>
      <c r="F187" s="135" t="s">
        <v>722</v>
      </c>
      <c r="G187" s="135" t="s">
        <v>1652</v>
      </c>
      <c r="H187" s="131">
        <v>673.08</v>
      </c>
    </row>
    <row r="188" spans="2:8" x14ac:dyDescent="0.2">
      <c r="B188" s="135" t="s">
        <v>1789</v>
      </c>
      <c r="C188" s="135" t="s">
        <v>339</v>
      </c>
      <c r="D188" s="135" t="s">
        <v>1852</v>
      </c>
      <c r="E188" s="135"/>
      <c r="F188" s="135" t="s">
        <v>722</v>
      </c>
      <c r="G188" s="135" t="s">
        <v>1652</v>
      </c>
      <c r="H188" s="131">
        <v>673.08</v>
      </c>
    </row>
    <row r="189" spans="2:8" x14ac:dyDescent="0.2">
      <c r="B189" s="135" t="s">
        <v>1789</v>
      </c>
      <c r="C189" s="135" t="s">
        <v>339</v>
      </c>
      <c r="D189" s="135" t="s">
        <v>1853</v>
      </c>
      <c r="E189" s="135"/>
      <c r="F189" s="135" t="s">
        <v>722</v>
      </c>
      <c r="G189" s="135" t="s">
        <v>1652</v>
      </c>
      <c r="H189" s="131">
        <v>-673.08</v>
      </c>
    </row>
    <row r="190" spans="2:8" x14ac:dyDescent="0.2">
      <c r="B190" s="135" t="s">
        <v>1854</v>
      </c>
      <c r="C190" s="135" t="s">
        <v>339</v>
      </c>
      <c r="D190" s="135" t="s">
        <v>1855</v>
      </c>
      <c r="E190" s="135"/>
      <c r="F190" s="135" t="s">
        <v>722</v>
      </c>
      <c r="G190" s="135" t="s">
        <v>1856</v>
      </c>
      <c r="H190" s="131">
        <v>673.08</v>
      </c>
    </row>
    <row r="191" spans="2:8" x14ac:dyDescent="0.2">
      <c r="B191" s="135" t="s">
        <v>1830</v>
      </c>
      <c r="C191" s="135" t="s">
        <v>339</v>
      </c>
      <c r="D191" s="135" t="s">
        <v>1847</v>
      </c>
      <c r="E191" s="135"/>
      <c r="F191" s="135" t="s">
        <v>722</v>
      </c>
      <c r="G191" s="135"/>
      <c r="H191" s="131">
        <v>673.08</v>
      </c>
    </row>
    <row r="192" spans="2:8" x14ac:dyDescent="0.2">
      <c r="B192" s="135" t="s">
        <v>2097</v>
      </c>
      <c r="C192" s="135" t="s">
        <v>339</v>
      </c>
      <c r="D192" s="135" t="s">
        <v>2098</v>
      </c>
      <c r="E192" s="135"/>
      <c r="F192" s="135" t="s">
        <v>722</v>
      </c>
      <c r="G192" s="135"/>
      <c r="H192" s="131">
        <v>-673.08</v>
      </c>
    </row>
    <row r="193" spans="2:8" x14ac:dyDescent="0.2">
      <c r="B193" s="135" t="s">
        <v>2097</v>
      </c>
      <c r="C193" s="135" t="s">
        <v>339</v>
      </c>
      <c r="D193" s="135" t="s">
        <v>2099</v>
      </c>
      <c r="E193" s="135"/>
      <c r="F193" s="135" t="s">
        <v>722</v>
      </c>
      <c r="G193" s="135" t="s">
        <v>2100</v>
      </c>
      <c r="H193" s="131">
        <v>673.08</v>
      </c>
    </row>
    <row r="194" spans="2:8" x14ac:dyDescent="0.2">
      <c r="B194" s="135" t="s">
        <v>2101</v>
      </c>
      <c r="C194" s="135" t="s">
        <v>339</v>
      </c>
      <c r="D194" s="135" t="s">
        <v>2102</v>
      </c>
      <c r="E194" s="135"/>
      <c r="F194" s="135" t="s">
        <v>722</v>
      </c>
      <c r="G194" s="135" t="s">
        <v>2103</v>
      </c>
      <c r="H194" s="131">
        <v>673.08</v>
      </c>
    </row>
    <row r="195" spans="2:8" x14ac:dyDescent="0.2">
      <c r="B195" s="135" t="s">
        <v>2104</v>
      </c>
      <c r="C195" s="135" t="s">
        <v>339</v>
      </c>
      <c r="D195" s="135" t="s">
        <v>2105</v>
      </c>
      <c r="E195" s="135"/>
      <c r="F195" s="135" t="s">
        <v>722</v>
      </c>
      <c r="G195" s="135" t="s">
        <v>2106</v>
      </c>
      <c r="H195" s="131">
        <v>673.08</v>
      </c>
    </row>
    <row r="196" spans="2:8" x14ac:dyDescent="0.2">
      <c r="B196" s="135" t="s">
        <v>2254</v>
      </c>
      <c r="C196" s="135" t="s">
        <v>339</v>
      </c>
      <c r="D196" s="135" t="s">
        <v>2255</v>
      </c>
      <c r="E196" s="135"/>
      <c r="F196" s="135" t="s">
        <v>722</v>
      </c>
      <c r="G196" s="135" t="s">
        <v>2256</v>
      </c>
      <c r="H196" s="131">
        <v>673.08</v>
      </c>
    </row>
    <row r="197" spans="2:8" x14ac:dyDescent="0.2">
      <c r="B197" s="135" t="s">
        <v>2251</v>
      </c>
      <c r="C197" s="135" t="s">
        <v>339</v>
      </c>
      <c r="D197" s="135" t="s">
        <v>2252</v>
      </c>
      <c r="E197" s="135"/>
      <c r="F197" s="135" t="s">
        <v>722</v>
      </c>
      <c r="G197" s="135" t="s">
        <v>2253</v>
      </c>
      <c r="H197" s="131">
        <v>673.08</v>
      </c>
    </row>
    <row r="198" spans="2:8" ht="25" x14ac:dyDescent="0.2">
      <c r="B198" s="135" t="s">
        <v>2240</v>
      </c>
      <c r="C198" s="135" t="s">
        <v>339</v>
      </c>
      <c r="D198" s="135" t="s">
        <v>2365</v>
      </c>
      <c r="E198" s="135"/>
      <c r="F198" s="135" t="s">
        <v>722</v>
      </c>
      <c r="G198" s="135" t="s">
        <v>2366</v>
      </c>
      <c r="H198" s="131">
        <v>269.23</v>
      </c>
    </row>
    <row r="199" spans="2:8" x14ac:dyDescent="0.2">
      <c r="B199" s="135" t="s">
        <v>2340</v>
      </c>
      <c r="C199" s="135" t="s">
        <v>339</v>
      </c>
      <c r="D199" s="135" t="s">
        <v>2367</v>
      </c>
      <c r="E199" s="135"/>
      <c r="F199" s="135" t="s">
        <v>722</v>
      </c>
      <c r="G199" s="135" t="s">
        <v>2368</v>
      </c>
      <c r="H199" s="131">
        <v>673.08</v>
      </c>
    </row>
    <row r="200" spans="2:8" ht="25" x14ac:dyDescent="0.2">
      <c r="B200" s="135" t="s">
        <v>2340</v>
      </c>
      <c r="C200" s="135" t="s">
        <v>339</v>
      </c>
      <c r="D200" s="135" t="s">
        <v>2369</v>
      </c>
      <c r="E200" s="135"/>
      <c r="F200" s="135" t="s">
        <v>722</v>
      </c>
      <c r="G200" s="135" t="s">
        <v>2366</v>
      </c>
      <c r="H200" s="131">
        <v>-269.23</v>
      </c>
    </row>
    <row r="201" spans="2:8" x14ac:dyDescent="0.2">
      <c r="B201" s="135" t="s">
        <v>2361</v>
      </c>
      <c r="C201" s="135" t="s">
        <v>339</v>
      </c>
      <c r="D201" s="135" t="s">
        <v>2362</v>
      </c>
      <c r="E201" s="135"/>
      <c r="F201" s="135" t="s">
        <v>722</v>
      </c>
      <c r="G201" s="135" t="s">
        <v>2363</v>
      </c>
      <c r="H201" s="131">
        <v>673.08</v>
      </c>
    </row>
    <row r="202" spans="2:8" x14ac:dyDescent="0.2">
      <c r="B202" s="135" t="s">
        <v>2370</v>
      </c>
      <c r="C202" s="135" t="s">
        <v>339</v>
      </c>
      <c r="D202" s="135" t="s">
        <v>2371</v>
      </c>
      <c r="E202" s="135"/>
      <c r="F202" s="135" t="s">
        <v>722</v>
      </c>
      <c r="G202" s="135" t="s">
        <v>2372</v>
      </c>
      <c r="H202" s="131">
        <v>605.77</v>
      </c>
    </row>
    <row r="203" spans="2:8" x14ac:dyDescent="0.2">
      <c r="B203" s="135" t="s">
        <v>2553</v>
      </c>
      <c r="C203" s="135" t="s">
        <v>339</v>
      </c>
      <c r="D203" s="135" t="s">
        <v>2566</v>
      </c>
      <c r="E203" s="135"/>
      <c r="F203" s="135" t="s">
        <v>722</v>
      </c>
      <c r="G203" s="135" t="s">
        <v>2567</v>
      </c>
      <c r="H203" s="131">
        <v>673.08</v>
      </c>
    </row>
    <row r="204" spans="2:8" x14ac:dyDescent="0.2">
      <c r="B204" s="135" t="s">
        <v>2553</v>
      </c>
      <c r="C204" s="135" t="s">
        <v>339</v>
      </c>
      <c r="D204" s="135" t="s">
        <v>2568</v>
      </c>
      <c r="E204" s="135"/>
      <c r="F204" s="135" t="s">
        <v>722</v>
      </c>
      <c r="G204" s="135" t="s">
        <v>2372</v>
      </c>
      <c r="H204" s="131">
        <v>-605.77</v>
      </c>
    </row>
    <row r="205" spans="2:8" x14ac:dyDescent="0.2">
      <c r="B205" s="135" t="s">
        <v>2569</v>
      </c>
      <c r="C205" s="135" t="s">
        <v>339</v>
      </c>
      <c r="D205" s="135" t="s">
        <v>2570</v>
      </c>
      <c r="E205" s="135"/>
      <c r="F205" s="135" t="s">
        <v>722</v>
      </c>
      <c r="G205" s="135" t="s">
        <v>2571</v>
      </c>
      <c r="H205" s="131">
        <v>673.08</v>
      </c>
    </row>
    <row r="206" spans="2:8" x14ac:dyDescent="0.2">
      <c r="B206" s="135" t="s">
        <v>2548</v>
      </c>
      <c r="C206" s="135" t="s">
        <v>339</v>
      </c>
      <c r="D206" s="135" t="s">
        <v>2572</v>
      </c>
      <c r="E206" s="135"/>
      <c r="F206" s="135" t="s">
        <v>722</v>
      </c>
      <c r="G206" s="135" t="s">
        <v>2573</v>
      </c>
      <c r="H206" s="131">
        <v>605.77</v>
      </c>
    </row>
    <row r="207" spans="2:8" x14ac:dyDescent="0.2">
      <c r="B207" s="135" t="s">
        <v>2737</v>
      </c>
      <c r="C207" s="135" t="s">
        <v>339</v>
      </c>
      <c r="D207" s="135" t="s">
        <v>2753</v>
      </c>
      <c r="E207" s="135"/>
      <c r="F207" s="135" t="s">
        <v>722</v>
      </c>
      <c r="G207" s="135" t="s">
        <v>2754</v>
      </c>
      <c r="H207" s="131">
        <v>673.08</v>
      </c>
    </row>
    <row r="208" spans="2:8" x14ac:dyDescent="0.2">
      <c r="B208" s="135" t="s">
        <v>2755</v>
      </c>
      <c r="C208" s="135" t="s">
        <v>339</v>
      </c>
      <c r="D208" s="135" t="s">
        <v>2756</v>
      </c>
      <c r="E208" s="135"/>
      <c r="F208" s="135" t="s">
        <v>722</v>
      </c>
      <c r="G208" s="135" t="s">
        <v>2573</v>
      </c>
      <c r="H208" s="131">
        <v>-605.77</v>
      </c>
    </row>
    <row r="209" spans="1:8" x14ac:dyDescent="0.2">
      <c r="B209" s="135" t="s">
        <v>2757</v>
      </c>
      <c r="C209" s="135" t="s">
        <v>339</v>
      </c>
      <c r="D209" s="135" t="s">
        <v>2758</v>
      </c>
      <c r="E209" s="135"/>
      <c r="F209" s="135" t="s">
        <v>722</v>
      </c>
      <c r="G209" s="135" t="s">
        <v>2759</v>
      </c>
      <c r="H209" s="131">
        <v>673.08</v>
      </c>
    </row>
    <row r="210" spans="1:8" x14ac:dyDescent="0.2">
      <c r="B210" s="135" t="s">
        <v>2741</v>
      </c>
      <c r="C210" s="135" t="s">
        <v>339</v>
      </c>
      <c r="D210" s="135" t="s">
        <v>2760</v>
      </c>
      <c r="E210" s="135"/>
      <c r="F210" s="135" t="s">
        <v>722</v>
      </c>
      <c r="G210" s="135" t="s">
        <v>2761</v>
      </c>
      <c r="H210" s="131">
        <v>673.08</v>
      </c>
    </row>
    <row r="211" spans="1:8" x14ac:dyDescent="0.2">
      <c r="A211" s="129" t="s">
        <v>802</v>
      </c>
      <c r="H211" s="132">
        <v>17500.080000000002</v>
      </c>
    </row>
    <row r="212" spans="1:8" x14ac:dyDescent="0.2">
      <c r="A212" s="129" t="s">
        <v>803</v>
      </c>
    </row>
    <row r="213" spans="1:8" x14ac:dyDescent="0.2">
      <c r="B213" s="135" t="s">
        <v>832</v>
      </c>
      <c r="C213" s="135" t="s">
        <v>339</v>
      </c>
      <c r="D213" s="135" t="s">
        <v>833</v>
      </c>
      <c r="E213" s="135"/>
      <c r="F213" s="135" t="s">
        <v>722</v>
      </c>
      <c r="G213" s="135" t="s">
        <v>809</v>
      </c>
      <c r="H213" s="131">
        <v>153</v>
      </c>
    </row>
    <row r="214" spans="1:8" x14ac:dyDescent="0.2">
      <c r="B214" s="135" t="s">
        <v>832</v>
      </c>
      <c r="C214" s="135" t="s">
        <v>339</v>
      </c>
      <c r="D214" s="135" t="s">
        <v>835</v>
      </c>
      <c r="E214" s="135"/>
      <c r="F214" s="135" t="s">
        <v>722</v>
      </c>
      <c r="G214" s="135" t="s">
        <v>809</v>
      </c>
      <c r="H214" s="131">
        <v>-153</v>
      </c>
    </row>
    <row r="215" spans="1:8" x14ac:dyDescent="0.2">
      <c r="B215" s="135" t="s">
        <v>826</v>
      </c>
      <c r="C215" s="135" t="s">
        <v>339</v>
      </c>
      <c r="D215" s="135" t="s">
        <v>827</v>
      </c>
      <c r="E215" s="135"/>
      <c r="F215" s="135" t="s">
        <v>722</v>
      </c>
      <c r="G215" s="135" t="s">
        <v>828</v>
      </c>
      <c r="H215" s="131">
        <v>153</v>
      </c>
    </row>
    <row r="216" spans="1:8" x14ac:dyDescent="0.2">
      <c r="B216" s="135" t="s">
        <v>829</v>
      </c>
      <c r="C216" s="135" t="s">
        <v>339</v>
      </c>
      <c r="D216" s="135" t="s">
        <v>830</v>
      </c>
      <c r="E216" s="135"/>
      <c r="F216" s="135" t="s">
        <v>722</v>
      </c>
      <c r="G216" s="135" t="s">
        <v>831</v>
      </c>
      <c r="H216" s="131">
        <v>153</v>
      </c>
    </row>
    <row r="217" spans="1:8" x14ac:dyDescent="0.2">
      <c r="B217" s="135" t="s">
        <v>1015</v>
      </c>
      <c r="C217" s="135" t="s">
        <v>339</v>
      </c>
      <c r="D217" s="135" t="s">
        <v>1016</v>
      </c>
      <c r="E217" s="135"/>
      <c r="F217" s="135" t="s">
        <v>722</v>
      </c>
      <c r="G217" s="135" t="s">
        <v>1017</v>
      </c>
      <c r="H217" s="131">
        <v>153</v>
      </c>
    </row>
    <row r="218" spans="1:8" x14ac:dyDescent="0.2">
      <c r="B218" s="135" t="s">
        <v>972</v>
      </c>
      <c r="C218" s="135" t="s">
        <v>339</v>
      </c>
      <c r="D218" s="135" t="s">
        <v>1018</v>
      </c>
      <c r="E218" s="135"/>
      <c r="F218" s="135" t="s">
        <v>722</v>
      </c>
      <c r="G218" s="135" t="s">
        <v>1019</v>
      </c>
      <c r="H218" s="131">
        <v>153</v>
      </c>
    </row>
    <row r="219" spans="1:8" x14ac:dyDescent="0.2">
      <c r="B219" s="135" t="s">
        <v>1173</v>
      </c>
      <c r="C219" s="135" t="s">
        <v>339</v>
      </c>
      <c r="D219" s="135" t="s">
        <v>1174</v>
      </c>
      <c r="E219" s="135"/>
      <c r="F219" s="135" t="s">
        <v>722</v>
      </c>
      <c r="G219" s="135" t="s">
        <v>1175</v>
      </c>
      <c r="H219" s="131">
        <v>153</v>
      </c>
    </row>
    <row r="220" spans="1:8" x14ac:dyDescent="0.2">
      <c r="B220" s="135" t="s">
        <v>1176</v>
      </c>
      <c r="C220" s="135" t="s">
        <v>339</v>
      </c>
      <c r="D220" s="135" t="s">
        <v>1177</v>
      </c>
      <c r="E220" s="135"/>
      <c r="F220" s="135" t="s">
        <v>722</v>
      </c>
      <c r="G220" s="135" t="s">
        <v>1178</v>
      </c>
      <c r="H220" s="131">
        <v>153</v>
      </c>
    </row>
    <row r="221" spans="1:8" x14ac:dyDescent="0.2">
      <c r="B221" s="135" t="s">
        <v>1362</v>
      </c>
      <c r="C221" s="135" t="s">
        <v>339</v>
      </c>
      <c r="D221" s="135" t="s">
        <v>1363</v>
      </c>
      <c r="E221" s="135"/>
      <c r="F221" s="135" t="s">
        <v>722</v>
      </c>
      <c r="G221" s="135" t="s">
        <v>1361</v>
      </c>
      <c r="H221" s="131">
        <v>153</v>
      </c>
    </row>
    <row r="222" spans="1:8" x14ac:dyDescent="0.2">
      <c r="B222" s="135" t="s">
        <v>1312</v>
      </c>
      <c r="C222" s="135" t="s">
        <v>339</v>
      </c>
      <c r="D222" s="135" t="s">
        <v>1365</v>
      </c>
      <c r="E222" s="135"/>
      <c r="F222" s="135" t="s">
        <v>722</v>
      </c>
      <c r="G222" s="135" t="s">
        <v>1366</v>
      </c>
      <c r="H222" s="131">
        <v>153</v>
      </c>
    </row>
    <row r="223" spans="1:8" x14ac:dyDescent="0.2">
      <c r="B223" s="135" t="s">
        <v>1542</v>
      </c>
      <c r="C223" s="135" t="s">
        <v>339</v>
      </c>
      <c r="D223" s="135" t="s">
        <v>1543</v>
      </c>
      <c r="E223" s="135"/>
      <c r="F223" s="135" t="s">
        <v>722</v>
      </c>
      <c r="G223" s="135" t="s">
        <v>1544</v>
      </c>
      <c r="H223" s="131">
        <v>153</v>
      </c>
    </row>
    <row r="224" spans="1:8" x14ac:dyDescent="0.2">
      <c r="B224" s="135" t="s">
        <v>1545</v>
      </c>
      <c r="C224" s="135" t="s">
        <v>339</v>
      </c>
      <c r="D224" s="135" t="s">
        <v>1546</v>
      </c>
      <c r="E224" s="135"/>
      <c r="F224" s="135" t="s">
        <v>722</v>
      </c>
      <c r="G224" s="135" t="s">
        <v>1547</v>
      </c>
      <c r="H224" s="131">
        <v>153</v>
      </c>
    </row>
    <row r="225" spans="2:8" x14ac:dyDescent="0.2">
      <c r="B225" s="135" t="s">
        <v>1548</v>
      </c>
      <c r="C225" s="135" t="s">
        <v>339</v>
      </c>
      <c r="D225" s="135" t="s">
        <v>1549</v>
      </c>
      <c r="E225" s="135"/>
      <c r="F225" s="135" t="s">
        <v>722</v>
      </c>
      <c r="G225" s="135" t="s">
        <v>1550</v>
      </c>
      <c r="H225" s="131">
        <v>153</v>
      </c>
    </row>
    <row r="226" spans="2:8" x14ac:dyDescent="0.2">
      <c r="B226" s="135" t="s">
        <v>1608</v>
      </c>
      <c r="C226" s="135" t="s">
        <v>339</v>
      </c>
      <c r="D226" s="135" t="s">
        <v>1656</v>
      </c>
      <c r="E226" s="135"/>
      <c r="F226" s="135" t="s">
        <v>722</v>
      </c>
      <c r="G226" s="135" t="s">
        <v>1550</v>
      </c>
      <c r="H226" s="131">
        <v>153</v>
      </c>
    </row>
    <row r="227" spans="2:8" x14ac:dyDescent="0.2">
      <c r="B227" s="135" t="s">
        <v>1608</v>
      </c>
      <c r="C227" s="135" t="s">
        <v>339</v>
      </c>
      <c r="D227" s="135" t="s">
        <v>1655</v>
      </c>
      <c r="E227" s="135"/>
      <c r="F227" s="135" t="s">
        <v>722</v>
      </c>
      <c r="G227" s="135" t="s">
        <v>1550</v>
      </c>
      <c r="H227" s="131">
        <v>-153</v>
      </c>
    </row>
    <row r="228" spans="2:8" x14ac:dyDescent="0.2">
      <c r="B228" s="135" t="s">
        <v>1643</v>
      </c>
      <c r="C228" s="135" t="s">
        <v>339</v>
      </c>
      <c r="D228" s="135" t="s">
        <v>1644</v>
      </c>
      <c r="E228" s="135"/>
      <c r="F228" s="135" t="s">
        <v>722</v>
      </c>
      <c r="G228" s="135" t="s">
        <v>1645</v>
      </c>
      <c r="H228" s="131">
        <v>153</v>
      </c>
    </row>
    <row r="229" spans="2:8" x14ac:dyDescent="0.2">
      <c r="B229" s="135" t="s">
        <v>1624</v>
      </c>
      <c r="C229" s="135" t="s">
        <v>339</v>
      </c>
      <c r="D229" s="135" t="s">
        <v>1651</v>
      </c>
      <c r="E229" s="135"/>
      <c r="F229" s="135" t="s">
        <v>722</v>
      </c>
      <c r="G229" s="135" t="s">
        <v>1652</v>
      </c>
      <c r="H229" s="131">
        <v>153</v>
      </c>
    </row>
    <row r="230" spans="2:8" x14ac:dyDescent="0.2">
      <c r="B230" s="135" t="s">
        <v>1789</v>
      </c>
      <c r="C230" s="135" t="s">
        <v>339</v>
      </c>
      <c r="D230" s="135" t="s">
        <v>1853</v>
      </c>
      <c r="E230" s="135"/>
      <c r="F230" s="135" t="s">
        <v>722</v>
      </c>
      <c r="G230" s="135" t="s">
        <v>1652</v>
      </c>
      <c r="H230" s="131">
        <v>-153</v>
      </c>
    </row>
    <row r="231" spans="2:8" x14ac:dyDescent="0.2">
      <c r="B231" s="135" t="s">
        <v>1789</v>
      </c>
      <c r="C231" s="135" t="s">
        <v>339</v>
      </c>
      <c r="D231" s="135" t="s">
        <v>1852</v>
      </c>
      <c r="E231" s="135"/>
      <c r="F231" s="135" t="s">
        <v>722</v>
      </c>
      <c r="G231" s="135" t="s">
        <v>1652</v>
      </c>
      <c r="H231" s="131">
        <v>153</v>
      </c>
    </row>
    <row r="232" spans="2:8" x14ac:dyDescent="0.2">
      <c r="B232" s="135" t="s">
        <v>1854</v>
      </c>
      <c r="C232" s="135" t="s">
        <v>339</v>
      </c>
      <c r="D232" s="135" t="s">
        <v>1855</v>
      </c>
      <c r="E232" s="135"/>
      <c r="F232" s="135" t="s">
        <v>722</v>
      </c>
      <c r="G232" s="135" t="s">
        <v>1856</v>
      </c>
      <c r="H232" s="131">
        <v>153</v>
      </c>
    </row>
    <row r="233" spans="2:8" x14ac:dyDescent="0.2">
      <c r="B233" s="135" t="s">
        <v>1830</v>
      </c>
      <c r="C233" s="135" t="s">
        <v>339</v>
      </c>
      <c r="D233" s="135" t="s">
        <v>1847</v>
      </c>
      <c r="E233" s="135"/>
      <c r="F233" s="135" t="s">
        <v>722</v>
      </c>
      <c r="G233" s="135"/>
      <c r="H233" s="131">
        <v>153</v>
      </c>
    </row>
    <row r="234" spans="2:8" x14ac:dyDescent="0.2">
      <c r="B234" s="135" t="s">
        <v>2097</v>
      </c>
      <c r="C234" s="135" t="s">
        <v>339</v>
      </c>
      <c r="D234" s="135" t="s">
        <v>2098</v>
      </c>
      <c r="E234" s="135"/>
      <c r="F234" s="135" t="s">
        <v>722</v>
      </c>
      <c r="G234" s="135"/>
      <c r="H234" s="131">
        <v>-153</v>
      </c>
    </row>
    <row r="235" spans="2:8" x14ac:dyDescent="0.2">
      <c r="B235" s="135" t="s">
        <v>2097</v>
      </c>
      <c r="C235" s="135" t="s">
        <v>339</v>
      </c>
      <c r="D235" s="135" t="s">
        <v>2099</v>
      </c>
      <c r="E235" s="135"/>
      <c r="F235" s="135" t="s">
        <v>722</v>
      </c>
      <c r="G235" s="135" t="s">
        <v>2100</v>
      </c>
      <c r="H235" s="131">
        <v>153</v>
      </c>
    </row>
    <row r="236" spans="2:8" x14ac:dyDescent="0.2">
      <c r="B236" s="135" t="s">
        <v>2101</v>
      </c>
      <c r="C236" s="135" t="s">
        <v>339</v>
      </c>
      <c r="D236" s="135" t="s">
        <v>2102</v>
      </c>
      <c r="E236" s="135"/>
      <c r="F236" s="135" t="s">
        <v>722</v>
      </c>
      <c r="G236" s="135" t="s">
        <v>2103</v>
      </c>
      <c r="H236" s="131">
        <v>153</v>
      </c>
    </row>
    <row r="237" spans="2:8" x14ac:dyDescent="0.2">
      <c r="B237" s="135" t="s">
        <v>2104</v>
      </c>
      <c r="C237" s="135" t="s">
        <v>339</v>
      </c>
      <c r="D237" s="135" t="s">
        <v>2105</v>
      </c>
      <c r="E237" s="135"/>
      <c r="F237" s="135" t="s">
        <v>722</v>
      </c>
      <c r="G237" s="135" t="s">
        <v>2106</v>
      </c>
      <c r="H237" s="131">
        <v>153</v>
      </c>
    </row>
    <row r="238" spans="2:8" x14ac:dyDescent="0.2">
      <c r="B238" s="135" t="s">
        <v>2254</v>
      </c>
      <c r="C238" s="135" t="s">
        <v>339</v>
      </c>
      <c r="D238" s="135" t="s">
        <v>2255</v>
      </c>
      <c r="E238" s="135"/>
      <c r="F238" s="135" t="s">
        <v>722</v>
      </c>
      <c r="G238" s="135" t="s">
        <v>2256</v>
      </c>
      <c r="H238" s="131">
        <v>153</v>
      </c>
    </row>
    <row r="239" spans="2:8" x14ac:dyDescent="0.2">
      <c r="B239" s="135" t="s">
        <v>2251</v>
      </c>
      <c r="C239" s="135" t="s">
        <v>339</v>
      </c>
      <c r="D239" s="135" t="s">
        <v>2252</v>
      </c>
      <c r="E239" s="135"/>
      <c r="F239" s="135" t="s">
        <v>722</v>
      </c>
      <c r="G239" s="135" t="s">
        <v>2253</v>
      </c>
      <c r="H239" s="131">
        <v>153</v>
      </c>
    </row>
    <row r="240" spans="2:8" ht="25" x14ac:dyDescent="0.2">
      <c r="B240" s="135" t="s">
        <v>2240</v>
      </c>
      <c r="C240" s="135" t="s">
        <v>339</v>
      </c>
      <c r="D240" s="135" t="s">
        <v>2365</v>
      </c>
      <c r="E240" s="135"/>
      <c r="F240" s="135" t="s">
        <v>722</v>
      </c>
      <c r="G240" s="135" t="s">
        <v>2366</v>
      </c>
      <c r="H240" s="131">
        <v>61.2</v>
      </c>
    </row>
    <row r="241" spans="1:8" ht="25" x14ac:dyDescent="0.2">
      <c r="B241" s="135" t="s">
        <v>2340</v>
      </c>
      <c r="C241" s="135" t="s">
        <v>339</v>
      </c>
      <c r="D241" s="135" t="s">
        <v>2369</v>
      </c>
      <c r="E241" s="135"/>
      <c r="F241" s="135" t="s">
        <v>722</v>
      </c>
      <c r="G241" s="135" t="s">
        <v>2366</v>
      </c>
      <c r="H241" s="131">
        <v>-61.2</v>
      </c>
    </row>
    <row r="242" spans="1:8" x14ac:dyDescent="0.2">
      <c r="B242" s="135" t="s">
        <v>2340</v>
      </c>
      <c r="C242" s="135" t="s">
        <v>339</v>
      </c>
      <c r="D242" s="135" t="s">
        <v>2367</v>
      </c>
      <c r="E242" s="135"/>
      <c r="F242" s="135" t="s">
        <v>722</v>
      </c>
      <c r="G242" s="135" t="s">
        <v>2368</v>
      </c>
      <c r="H242" s="131">
        <v>153</v>
      </c>
    </row>
    <row r="243" spans="1:8" x14ac:dyDescent="0.2">
      <c r="B243" s="135" t="s">
        <v>2361</v>
      </c>
      <c r="C243" s="135" t="s">
        <v>339</v>
      </c>
      <c r="D243" s="135" t="s">
        <v>2362</v>
      </c>
      <c r="E243" s="135"/>
      <c r="F243" s="135" t="s">
        <v>722</v>
      </c>
      <c r="G243" s="135" t="s">
        <v>2363</v>
      </c>
      <c r="H243" s="131">
        <v>153</v>
      </c>
    </row>
    <row r="244" spans="1:8" x14ac:dyDescent="0.2">
      <c r="B244" s="135" t="s">
        <v>2370</v>
      </c>
      <c r="C244" s="135" t="s">
        <v>339</v>
      </c>
      <c r="D244" s="135" t="s">
        <v>2371</v>
      </c>
      <c r="E244" s="135"/>
      <c r="F244" s="135" t="s">
        <v>722</v>
      </c>
      <c r="G244" s="135" t="s">
        <v>2372</v>
      </c>
      <c r="H244" s="131">
        <v>137.69999999999999</v>
      </c>
    </row>
    <row r="245" spans="1:8" x14ac:dyDescent="0.2">
      <c r="B245" s="135" t="s">
        <v>2553</v>
      </c>
      <c r="C245" s="135" t="s">
        <v>339</v>
      </c>
      <c r="D245" s="135" t="s">
        <v>2566</v>
      </c>
      <c r="E245" s="135"/>
      <c r="F245" s="135" t="s">
        <v>722</v>
      </c>
      <c r="G245" s="135" t="s">
        <v>2567</v>
      </c>
      <c r="H245" s="131">
        <v>153</v>
      </c>
    </row>
    <row r="246" spans="1:8" x14ac:dyDescent="0.2">
      <c r="B246" s="135" t="s">
        <v>2553</v>
      </c>
      <c r="C246" s="135" t="s">
        <v>339</v>
      </c>
      <c r="D246" s="135" t="s">
        <v>2568</v>
      </c>
      <c r="E246" s="135"/>
      <c r="F246" s="135" t="s">
        <v>722</v>
      </c>
      <c r="G246" s="135" t="s">
        <v>2372</v>
      </c>
      <c r="H246" s="131">
        <v>-137.69999999999999</v>
      </c>
    </row>
    <row r="247" spans="1:8" x14ac:dyDescent="0.2">
      <c r="B247" s="135" t="s">
        <v>2569</v>
      </c>
      <c r="C247" s="135" t="s">
        <v>339</v>
      </c>
      <c r="D247" s="135" t="s">
        <v>2570</v>
      </c>
      <c r="E247" s="135"/>
      <c r="F247" s="135" t="s">
        <v>722</v>
      </c>
      <c r="G247" s="135" t="s">
        <v>2571</v>
      </c>
      <c r="H247" s="131">
        <v>153</v>
      </c>
    </row>
    <row r="248" spans="1:8" x14ac:dyDescent="0.2">
      <c r="B248" s="135" t="s">
        <v>2548</v>
      </c>
      <c r="C248" s="135" t="s">
        <v>339</v>
      </c>
      <c r="D248" s="135" t="s">
        <v>2572</v>
      </c>
      <c r="E248" s="135"/>
      <c r="F248" s="135" t="s">
        <v>722</v>
      </c>
      <c r="G248" s="135" t="s">
        <v>2573</v>
      </c>
      <c r="H248" s="131">
        <v>137.69999999999999</v>
      </c>
    </row>
    <row r="249" spans="1:8" x14ac:dyDescent="0.2">
      <c r="B249" s="135" t="s">
        <v>2737</v>
      </c>
      <c r="C249" s="135" t="s">
        <v>339</v>
      </c>
      <c r="D249" s="135" t="s">
        <v>2753</v>
      </c>
      <c r="E249" s="135"/>
      <c r="F249" s="135" t="s">
        <v>722</v>
      </c>
      <c r="G249" s="135" t="s">
        <v>2754</v>
      </c>
      <c r="H249" s="131">
        <v>153</v>
      </c>
    </row>
    <row r="250" spans="1:8" x14ac:dyDescent="0.2">
      <c r="B250" s="135" t="s">
        <v>2755</v>
      </c>
      <c r="C250" s="135" t="s">
        <v>339</v>
      </c>
      <c r="D250" s="135" t="s">
        <v>2756</v>
      </c>
      <c r="E250" s="135"/>
      <c r="F250" s="135" t="s">
        <v>722</v>
      </c>
      <c r="G250" s="135" t="s">
        <v>2573</v>
      </c>
      <c r="H250" s="131">
        <v>-137.69999999999999</v>
      </c>
    </row>
    <row r="251" spans="1:8" x14ac:dyDescent="0.2">
      <c r="B251" s="135" t="s">
        <v>2757</v>
      </c>
      <c r="C251" s="135" t="s">
        <v>339</v>
      </c>
      <c r="D251" s="135" t="s">
        <v>2758</v>
      </c>
      <c r="E251" s="135"/>
      <c r="F251" s="135" t="s">
        <v>722</v>
      </c>
      <c r="G251" s="135" t="s">
        <v>2759</v>
      </c>
      <c r="H251" s="131">
        <v>153</v>
      </c>
    </row>
    <row r="252" spans="1:8" x14ac:dyDescent="0.2">
      <c r="B252" s="135" t="s">
        <v>2741</v>
      </c>
      <c r="C252" s="135" t="s">
        <v>339</v>
      </c>
      <c r="D252" s="135" t="s">
        <v>2760</v>
      </c>
      <c r="E252" s="135"/>
      <c r="F252" s="135" t="s">
        <v>722</v>
      </c>
      <c r="G252" s="135" t="s">
        <v>2761</v>
      </c>
      <c r="H252" s="131">
        <v>153</v>
      </c>
    </row>
    <row r="253" spans="1:8" x14ac:dyDescent="0.2">
      <c r="A253" s="129" t="s">
        <v>804</v>
      </c>
      <c r="H253" s="132">
        <v>3978</v>
      </c>
    </row>
    <row r="254" spans="1:8" x14ac:dyDescent="0.2">
      <c r="A254" s="129" t="s">
        <v>1097</v>
      </c>
    </row>
    <row r="255" spans="1:8" x14ac:dyDescent="0.2">
      <c r="B255" s="135" t="s">
        <v>832</v>
      </c>
      <c r="C255" s="135" t="s">
        <v>339</v>
      </c>
      <c r="D255" s="135" t="s">
        <v>833</v>
      </c>
      <c r="E255" s="135"/>
      <c r="F255" s="135" t="s">
        <v>722</v>
      </c>
      <c r="G255" s="135" t="s">
        <v>809</v>
      </c>
      <c r="H255" s="131">
        <v>-22.69</v>
      </c>
    </row>
    <row r="256" spans="1:8" x14ac:dyDescent="0.2">
      <c r="B256" s="135" t="s">
        <v>826</v>
      </c>
      <c r="C256" s="135" t="s">
        <v>339</v>
      </c>
      <c r="D256" s="135" t="s">
        <v>827</v>
      </c>
      <c r="E256" s="135"/>
      <c r="F256" s="135" t="s">
        <v>722</v>
      </c>
      <c r="G256" s="135" t="s">
        <v>828</v>
      </c>
      <c r="H256" s="131">
        <v>-22.69</v>
      </c>
    </row>
    <row r="257" spans="2:8" x14ac:dyDescent="0.2">
      <c r="B257" s="135" t="s">
        <v>829</v>
      </c>
      <c r="C257" s="135" t="s">
        <v>339</v>
      </c>
      <c r="D257" s="135" t="s">
        <v>830</v>
      </c>
      <c r="E257" s="135"/>
      <c r="F257" s="135" t="s">
        <v>722</v>
      </c>
      <c r="G257" s="135" t="s">
        <v>831</v>
      </c>
      <c r="H257" s="131">
        <v>-22.69</v>
      </c>
    </row>
    <row r="258" spans="2:8" x14ac:dyDescent="0.2">
      <c r="B258" s="135" t="s">
        <v>1012</v>
      </c>
      <c r="C258" s="135" t="s">
        <v>102</v>
      </c>
      <c r="D258" s="135"/>
      <c r="E258" s="135" t="s">
        <v>1098</v>
      </c>
      <c r="F258" s="135" t="s">
        <v>722</v>
      </c>
      <c r="G258" s="135" t="s">
        <v>1099</v>
      </c>
      <c r="H258" s="131">
        <v>5652.04</v>
      </c>
    </row>
    <row r="259" spans="2:8" x14ac:dyDescent="0.2">
      <c r="B259" s="135" t="s">
        <v>1015</v>
      </c>
      <c r="C259" s="135" t="s">
        <v>339</v>
      </c>
      <c r="D259" s="135" t="s">
        <v>1016</v>
      </c>
      <c r="E259" s="135"/>
      <c r="F259" s="135" t="s">
        <v>722</v>
      </c>
      <c r="G259" s="135" t="s">
        <v>1017</v>
      </c>
      <c r="H259" s="131">
        <v>-22.69</v>
      </c>
    </row>
    <row r="260" spans="2:8" x14ac:dyDescent="0.2">
      <c r="B260" s="135" t="s">
        <v>972</v>
      </c>
      <c r="C260" s="135" t="s">
        <v>339</v>
      </c>
      <c r="D260" s="135" t="s">
        <v>1018</v>
      </c>
      <c r="E260" s="135"/>
      <c r="F260" s="135" t="s">
        <v>722</v>
      </c>
      <c r="G260" s="135" t="s">
        <v>1019</v>
      </c>
      <c r="H260" s="131">
        <v>-22.69</v>
      </c>
    </row>
    <row r="261" spans="2:8" x14ac:dyDescent="0.2">
      <c r="B261" s="135" t="s">
        <v>1173</v>
      </c>
      <c r="C261" s="135" t="s">
        <v>339</v>
      </c>
      <c r="D261" s="135" t="s">
        <v>1174</v>
      </c>
      <c r="E261" s="135"/>
      <c r="F261" s="135" t="s">
        <v>722</v>
      </c>
      <c r="G261" s="135" t="s">
        <v>1175</v>
      </c>
      <c r="H261" s="131">
        <v>-22.69</v>
      </c>
    </row>
    <row r="262" spans="2:8" x14ac:dyDescent="0.2">
      <c r="B262" s="135" t="s">
        <v>1176</v>
      </c>
      <c r="C262" s="135" t="s">
        <v>339</v>
      </c>
      <c r="D262" s="135" t="s">
        <v>1177</v>
      </c>
      <c r="E262" s="135"/>
      <c r="F262" s="135" t="s">
        <v>722</v>
      </c>
      <c r="G262" s="135" t="s">
        <v>1178</v>
      </c>
      <c r="H262" s="131">
        <v>-22.69</v>
      </c>
    </row>
    <row r="263" spans="2:8" x14ac:dyDescent="0.2">
      <c r="B263" s="135" t="s">
        <v>1422</v>
      </c>
      <c r="C263" s="135" t="s">
        <v>3</v>
      </c>
      <c r="D263" s="135"/>
      <c r="E263" s="135" t="s">
        <v>1098</v>
      </c>
      <c r="F263" s="135" t="s">
        <v>722</v>
      </c>
      <c r="G263" s="135" t="s">
        <v>1423</v>
      </c>
      <c r="H263" s="131">
        <v>2826.02</v>
      </c>
    </row>
    <row r="264" spans="2:8" x14ac:dyDescent="0.2">
      <c r="B264" s="135" t="s">
        <v>1362</v>
      </c>
      <c r="C264" s="135" t="s">
        <v>339</v>
      </c>
      <c r="D264" s="135" t="s">
        <v>1363</v>
      </c>
      <c r="E264" s="135"/>
      <c r="F264" s="135" t="s">
        <v>722</v>
      </c>
      <c r="G264" s="135" t="s">
        <v>1361</v>
      </c>
      <c r="H264" s="131">
        <v>-22.69</v>
      </c>
    </row>
    <row r="265" spans="2:8" x14ac:dyDescent="0.2">
      <c r="B265" s="135" t="s">
        <v>1312</v>
      </c>
      <c r="C265" s="135" t="s">
        <v>339</v>
      </c>
      <c r="D265" s="135" t="s">
        <v>1365</v>
      </c>
      <c r="E265" s="135"/>
      <c r="F265" s="135" t="s">
        <v>722</v>
      </c>
      <c r="G265" s="135" t="s">
        <v>1366</v>
      </c>
      <c r="H265" s="131">
        <v>-22.69</v>
      </c>
    </row>
    <row r="266" spans="2:8" x14ac:dyDescent="0.2">
      <c r="B266" s="135" t="s">
        <v>1447</v>
      </c>
      <c r="C266" s="135" t="s">
        <v>102</v>
      </c>
      <c r="D266" s="135"/>
      <c r="E266" s="135" t="s">
        <v>1098</v>
      </c>
      <c r="F266" s="135" t="s">
        <v>722</v>
      </c>
      <c r="G266" s="135" t="s">
        <v>1578</v>
      </c>
      <c r="H266" s="131">
        <v>5652.04</v>
      </c>
    </row>
    <row r="267" spans="2:8" x14ac:dyDescent="0.2">
      <c r="B267" s="135" t="s">
        <v>1542</v>
      </c>
      <c r="C267" s="135" t="s">
        <v>339</v>
      </c>
      <c r="D267" s="135" t="s">
        <v>1543</v>
      </c>
      <c r="E267" s="135"/>
      <c r="F267" s="135" t="s">
        <v>722</v>
      </c>
      <c r="G267" s="135" t="s">
        <v>1544</v>
      </c>
      <c r="H267" s="131">
        <v>-22.69</v>
      </c>
    </row>
    <row r="268" spans="2:8" x14ac:dyDescent="0.2">
      <c r="B268" s="135" t="s">
        <v>1545</v>
      </c>
      <c r="C268" s="135" t="s">
        <v>339</v>
      </c>
      <c r="D268" s="135" t="s">
        <v>1546</v>
      </c>
      <c r="E268" s="135"/>
      <c r="F268" s="135" t="s">
        <v>722</v>
      </c>
      <c r="G268" s="135" t="s">
        <v>1547</v>
      </c>
      <c r="H268" s="131">
        <v>-22.69</v>
      </c>
    </row>
    <row r="269" spans="2:8" x14ac:dyDescent="0.2">
      <c r="B269" s="135" t="s">
        <v>1608</v>
      </c>
      <c r="C269" s="135" t="s">
        <v>339</v>
      </c>
      <c r="D269" s="135" t="s">
        <v>1656</v>
      </c>
      <c r="E269" s="135"/>
      <c r="F269" s="135" t="s">
        <v>722</v>
      </c>
      <c r="G269" s="135" t="s">
        <v>1550</v>
      </c>
      <c r="H269" s="131">
        <v>-22.69</v>
      </c>
    </row>
    <row r="270" spans="2:8" x14ac:dyDescent="0.2">
      <c r="B270" s="135" t="s">
        <v>1619</v>
      </c>
      <c r="C270" s="135" t="s">
        <v>102</v>
      </c>
      <c r="D270" s="135"/>
      <c r="E270" s="135" t="s">
        <v>1098</v>
      </c>
      <c r="F270" s="135" t="s">
        <v>722</v>
      </c>
      <c r="G270" s="135" t="s">
        <v>1716</v>
      </c>
      <c r="H270" s="131">
        <v>2826.02</v>
      </c>
    </row>
    <row r="271" spans="2:8" x14ac:dyDescent="0.2">
      <c r="B271" s="135" t="s">
        <v>1643</v>
      </c>
      <c r="C271" s="135" t="s">
        <v>339</v>
      </c>
      <c r="D271" s="135" t="s">
        <v>1644</v>
      </c>
      <c r="E271" s="135"/>
      <c r="F271" s="135" t="s">
        <v>722</v>
      </c>
      <c r="G271" s="135" t="s">
        <v>1645</v>
      </c>
      <c r="H271" s="131">
        <v>-22.69</v>
      </c>
    </row>
    <row r="272" spans="2:8" x14ac:dyDescent="0.2">
      <c r="B272" s="135" t="s">
        <v>1824</v>
      </c>
      <c r="C272" s="135" t="s">
        <v>102</v>
      </c>
      <c r="D272" s="135"/>
      <c r="E272" s="135" t="s">
        <v>1098</v>
      </c>
      <c r="F272" s="135" t="s">
        <v>722</v>
      </c>
      <c r="G272" s="135" t="s">
        <v>2005</v>
      </c>
      <c r="H272" s="131">
        <v>2826.02</v>
      </c>
    </row>
    <row r="273" spans="2:8" x14ac:dyDescent="0.2">
      <c r="B273" s="135" t="s">
        <v>1789</v>
      </c>
      <c r="C273" s="135" t="s">
        <v>339</v>
      </c>
      <c r="D273" s="135" t="s">
        <v>1852</v>
      </c>
      <c r="E273" s="135"/>
      <c r="F273" s="135" t="s">
        <v>722</v>
      </c>
      <c r="G273" s="135" t="s">
        <v>1652</v>
      </c>
      <c r="H273" s="131">
        <v>-22.69</v>
      </c>
    </row>
    <row r="274" spans="2:8" x14ac:dyDescent="0.2">
      <c r="B274" s="135" t="s">
        <v>1854</v>
      </c>
      <c r="C274" s="135" t="s">
        <v>339</v>
      </c>
      <c r="D274" s="135" t="s">
        <v>1855</v>
      </c>
      <c r="E274" s="135"/>
      <c r="F274" s="135" t="s">
        <v>722</v>
      </c>
      <c r="G274" s="135" t="s">
        <v>1856</v>
      </c>
      <c r="H274" s="131">
        <v>-22.69</v>
      </c>
    </row>
    <row r="275" spans="2:8" x14ac:dyDescent="0.2">
      <c r="B275" s="135" t="s">
        <v>2097</v>
      </c>
      <c r="C275" s="135" t="s">
        <v>339</v>
      </c>
      <c r="D275" s="135" t="s">
        <v>2099</v>
      </c>
      <c r="E275" s="135"/>
      <c r="F275" s="135" t="s">
        <v>722</v>
      </c>
      <c r="G275" s="135" t="s">
        <v>2100</v>
      </c>
      <c r="H275" s="131">
        <v>-22.69</v>
      </c>
    </row>
    <row r="276" spans="2:8" x14ac:dyDescent="0.2">
      <c r="B276" s="135" t="s">
        <v>2096</v>
      </c>
      <c r="C276" s="135" t="s">
        <v>547</v>
      </c>
      <c r="D276" s="135">
        <v>81224</v>
      </c>
      <c r="E276" s="135" t="s">
        <v>1098</v>
      </c>
      <c r="F276" s="135" t="s">
        <v>722</v>
      </c>
      <c r="G276" s="135" t="s">
        <v>2200</v>
      </c>
      <c r="H276" s="131">
        <v>2826.02</v>
      </c>
    </row>
    <row r="277" spans="2:8" x14ac:dyDescent="0.2">
      <c r="B277" s="135" t="s">
        <v>2101</v>
      </c>
      <c r="C277" s="135" t="s">
        <v>339</v>
      </c>
      <c r="D277" s="135" t="s">
        <v>2102</v>
      </c>
      <c r="E277" s="135"/>
      <c r="F277" s="135" t="s">
        <v>722</v>
      </c>
      <c r="G277" s="135" t="s">
        <v>2103</v>
      </c>
      <c r="H277" s="131">
        <v>-22.69</v>
      </c>
    </row>
    <row r="278" spans="2:8" x14ac:dyDescent="0.2">
      <c r="B278" s="135" t="s">
        <v>2104</v>
      </c>
      <c r="C278" s="135" t="s">
        <v>339</v>
      </c>
      <c r="D278" s="135" t="s">
        <v>2105</v>
      </c>
      <c r="E278" s="135"/>
      <c r="F278" s="135" t="s">
        <v>722</v>
      </c>
      <c r="G278" s="135" t="s">
        <v>2106</v>
      </c>
      <c r="H278" s="131">
        <v>-22.69</v>
      </c>
    </row>
    <row r="279" spans="2:8" x14ac:dyDescent="0.2">
      <c r="B279" s="135" t="s">
        <v>2299</v>
      </c>
      <c r="C279" s="135" t="s">
        <v>3</v>
      </c>
      <c r="D279" s="135"/>
      <c r="E279" s="135" t="s">
        <v>1098</v>
      </c>
      <c r="F279" s="135" t="s">
        <v>722</v>
      </c>
      <c r="G279" s="135" t="s">
        <v>1423</v>
      </c>
      <c r="H279" s="131">
        <v>2826.02</v>
      </c>
    </row>
    <row r="280" spans="2:8" x14ac:dyDescent="0.2">
      <c r="B280" s="135" t="s">
        <v>2254</v>
      </c>
      <c r="C280" s="135" t="s">
        <v>339</v>
      </c>
      <c r="D280" s="135" t="s">
        <v>2255</v>
      </c>
      <c r="E280" s="135"/>
      <c r="F280" s="135" t="s">
        <v>722</v>
      </c>
      <c r="G280" s="135" t="s">
        <v>2256</v>
      </c>
      <c r="H280" s="131">
        <v>-22.69</v>
      </c>
    </row>
    <row r="281" spans="2:8" x14ac:dyDescent="0.2">
      <c r="B281" s="135" t="s">
        <v>2251</v>
      </c>
      <c r="C281" s="135" t="s">
        <v>339</v>
      </c>
      <c r="D281" s="135" t="s">
        <v>2252</v>
      </c>
      <c r="E281" s="135"/>
      <c r="F281" s="135" t="s">
        <v>722</v>
      </c>
      <c r="G281" s="135" t="s">
        <v>2253</v>
      </c>
      <c r="H281" s="131">
        <v>-22.69</v>
      </c>
    </row>
    <row r="282" spans="2:8" x14ac:dyDescent="0.2">
      <c r="B282" s="135" t="s">
        <v>2340</v>
      </c>
      <c r="C282" s="135" t="s">
        <v>339</v>
      </c>
      <c r="D282" s="135" t="s">
        <v>2367</v>
      </c>
      <c r="E282" s="135"/>
      <c r="F282" s="135" t="s">
        <v>722</v>
      </c>
      <c r="G282" s="135" t="s">
        <v>2368</v>
      </c>
      <c r="H282" s="131">
        <v>-22.69</v>
      </c>
    </row>
    <row r="283" spans="2:8" x14ac:dyDescent="0.2">
      <c r="B283" s="135" t="s">
        <v>2374</v>
      </c>
      <c r="C283" s="135" t="s">
        <v>547</v>
      </c>
      <c r="D283" s="135">
        <v>101524</v>
      </c>
      <c r="E283" s="135" t="s">
        <v>1098</v>
      </c>
      <c r="F283" s="135" t="s">
        <v>722</v>
      </c>
      <c r="G283" s="135" t="s">
        <v>2438</v>
      </c>
      <c r="H283" s="131">
        <v>2826.02</v>
      </c>
    </row>
    <row r="284" spans="2:8" x14ac:dyDescent="0.2">
      <c r="B284" s="135" t="s">
        <v>2361</v>
      </c>
      <c r="C284" s="135" t="s">
        <v>339</v>
      </c>
      <c r="D284" s="135" t="s">
        <v>2362</v>
      </c>
      <c r="E284" s="135"/>
      <c r="F284" s="135" t="s">
        <v>722</v>
      </c>
      <c r="G284" s="135" t="s">
        <v>2363</v>
      </c>
      <c r="H284" s="131">
        <v>-22.69</v>
      </c>
    </row>
    <row r="285" spans="2:8" x14ac:dyDescent="0.2">
      <c r="B285" s="135" t="s">
        <v>2560</v>
      </c>
      <c r="C285" s="135" t="s">
        <v>102</v>
      </c>
      <c r="D285" s="135"/>
      <c r="E285" s="135" t="s">
        <v>1098</v>
      </c>
      <c r="F285" s="135" t="s">
        <v>722</v>
      </c>
      <c r="G285" s="135" t="s">
        <v>2615</v>
      </c>
      <c r="H285" s="131">
        <v>2826.02</v>
      </c>
    </row>
    <row r="286" spans="2:8" x14ac:dyDescent="0.2">
      <c r="B286" s="135" t="s">
        <v>2553</v>
      </c>
      <c r="C286" s="135" t="s">
        <v>339</v>
      </c>
      <c r="D286" s="135" t="s">
        <v>2566</v>
      </c>
      <c r="E286" s="135"/>
      <c r="F286" s="135" t="s">
        <v>722</v>
      </c>
      <c r="G286" s="135" t="s">
        <v>2567</v>
      </c>
      <c r="H286" s="131">
        <v>-22.69</v>
      </c>
    </row>
    <row r="287" spans="2:8" x14ac:dyDescent="0.2">
      <c r="B287" s="135" t="s">
        <v>2569</v>
      </c>
      <c r="C287" s="135" t="s">
        <v>339</v>
      </c>
      <c r="D287" s="135" t="s">
        <v>2570</v>
      </c>
      <c r="E287" s="135"/>
      <c r="F287" s="135" t="s">
        <v>722</v>
      </c>
      <c r="G287" s="135" t="s">
        <v>2571</v>
      </c>
      <c r="H287" s="131">
        <v>-22.69</v>
      </c>
    </row>
    <row r="288" spans="2:8" x14ac:dyDescent="0.2">
      <c r="B288" s="135" t="s">
        <v>2736</v>
      </c>
      <c r="C288" s="135" t="s">
        <v>102</v>
      </c>
      <c r="D288" s="135">
        <v>95963</v>
      </c>
      <c r="E288" s="135" t="s">
        <v>1098</v>
      </c>
      <c r="F288" s="135" t="s">
        <v>722</v>
      </c>
      <c r="G288" s="135" t="s">
        <v>2615</v>
      </c>
      <c r="H288" s="131">
        <v>1735.38</v>
      </c>
    </row>
    <row r="289" spans="1:8" x14ac:dyDescent="0.2">
      <c r="B289" s="135" t="s">
        <v>2737</v>
      </c>
      <c r="C289" s="135" t="s">
        <v>339</v>
      </c>
      <c r="D289" s="135" t="s">
        <v>2753</v>
      </c>
      <c r="E289" s="135"/>
      <c r="F289" s="135" t="s">
        <v>722</v>
      </c>
      <c r="G289" s="135" t="s">
        <v>2754</v>
      </c>
      <c r="H289" s="131">
        <v>-22.69</v>
      </c>
    </row>
    <row r="290" spans="1:8" x14ac:dyDescent="0.2">
      <c r="B290" s="135" t="s">
        <v>2757</v>
      </c>
      <c r="C290" s="135" t="s">
        <v>339</v>
      </c>
      <c r="D290" s="135" t="s">
        <v>2758</v>
      </c>
      <c r="E290" s="135"/>
      <c r="F290" s="135" t="s">
        <v>722</v>
      </c>
      <c r="G290" s="135" t="s">
        <v>2759</v>
      </c>
      <c r="H290" s="131">
        <v>-22.69</v>
      </c>
    </row>
    <row r="291" spans="1:8" x14ac:dyDescent="0.2">
      <c r="A291" s="129" t="s">
        <v>1100</v>
      </c>
      <c r="H291" s="132">
        <v>32231.66</v>
      </c>
    </row>
    <row r="292" spans="1:8" x14ac:dyDescent="0.2">
      <c r="A292" s="129" t="s">
        <v>1101</v>
      </c>
    </row>
    <row r="293" spans="1:8" x14ac:dyDescent="0.2">
      <c r="B293" s="135" t="s">
        <v>1066</v>
      </c>
      <c r="C293" s="135" t="s">
        <v>3</v>
      </c>
      <c r="D293" s="135"/>
      <c r="E293" s="135" t="s">
        <v>1102</v>
      </c>
      <c r="F293" s="135" t="s">
        <v>722</v>
      </c>
      <c r="G293" s="135"/>
      <c r="H293" s="131">
        <v>798.75</v>
      </c>
    </row>
    <row r="294" spans="1:8" x14ac:dyDescent="0.2">
      <c r="B294" s="135" t="s">
        <v>1386</v>
      </c>
      <c r="C294" s="135" t="s">
        <v>3</v>
      </c>
      <c r="D294" s="135"/>
      <c r="E294" s="135" t="s">
        <v>1424</v>
      </c>
      <c r="F294" s="135" t="s">
        <v>722</v>
      </c>
      <c r="G294" s="135" t="s">
        <v>1425</v>
      </c>
      <c r="H294" s="136"/>
    </row>
    <row r="295" spans="1:8" x14ac:dyDescent="0.2">
      <c r="B295" s="135" t="s">
        <v>1579</v>
      </c>
      <c r="C295" s="135" t="s">
        <v>3</v>
      </c>
      <c r="D295" s="135"/>
      <c r="E295" s="135" t="s">
        <v>1580</v>
      </c>
      <c r="F295" s="135" t="s">
        <v>722</v>
      </c>
      <c r="G295" s="135"/>
      <c r="H295" s="131">
        <v>798.75</v>
      </c>
    </row>
    <row r="296" spans="1:8" x14ac:dyDescent="0.2">
      <c r="B296" s="135" t="s">
        <v>2136</v>
      </c>
      <c r="C296" s="135" t="s">
        <v>3</v>
      </c>
      <c r="D296" s="135"/>
      <c r="E296" s="135"/>
      <c r="F296" s="135" t="s">
        <v>722</v>
      </c>
      <c r="G296" s="135" t="s">
        <v>2300</v>
      </c>
      <c r="H296" s="131">
        <v>798.75</v>
      </c>
    </row>
    <row r="297" spans="1:8" x14ac:dyDescent="0.2">
      <c r="B297" s="135" t="s">
        <v>2088</v>
      </c>
      <c r="C297" s="135" t="s">
        <v>3</v>
      </c>
      <c r="D297" s="135"/>
      <c r="E297" s="135" t="s">
        <v>2301</v>
      </c>
      <c r="F297" s="135" t="s">
        <v>722</v>
      </c>
      <c r="G297" s="135" t="s">
        <v>2302</v>
      </c>
      <c r="H297" s="131">
        <v>299</v>
      </c>
    </row>
    <row r="298" spans="1:8" x14ac:dyDescent="0.2">
      <c r="B298" s="135" t="s">
        <v>2564</v>
      </c>
      <c r="C298" s="135" t="s">
        <v>3</v>
      </c>
      <c r="D298" s="135"/>
      <c r="E298" s="135" t="s">
        <v>2616</v>
      </c>
      <c r="F298" s="135" t="s">
        <v>722</v>
      </c>
      <c r="G298" s="135"/>
      <c r="H298" s="131">
        <v>37.5</v>
      </c>
    </row>
    <row r="299" spans="1:8" x14ac:dyDescent="0.2">
      <c r="B299" s="135" t="s">
        <v>2569</v>
      </c>
      <c r="C299" s="135" t="s">
        <v>3</v>
      </c>
      <c r="D299" s="135"/>
      <c r="E299" s="135" t="s">
        <v>2616</v>
      </c>
      <c r="F299" s="135" t="s">
        <v>722</v>
      </c>
      <c r="G299" s="135"/>
      <c r="H299" s="131">
        <v>127.2</v>
      </c>
    </row>
    <row r="300" spans="1:8" x14ac:dyDescent="0.2">
      <c r="B300" s="135" t="s">
        <v>2569</v>
      </c>
      <c r="C300" s="135" t="s">
        <v>3</v>
      </c>
      <c r="D300" s="135"/>
      <c r="E300" s="135" t="s">
        <v>2616</v>
      </c>
      <c r="F300" s="135" t="s">
        <v>722</v>
      </c>
      <c r="G300" s="135"/>
      <c r="H300" s="131">
        <v>48</v>
      </c>
    </row>
    <row r="301" spans="1:8" x14ac:dyDescent="0.2">
      <c r="B301" s="135" t="s">
        <v>2569</v>
      </c>
      <c r="C301" s="135" t="s">
        <v>3</v>
      </c>
      <c r="D301" s="135"/>
      <c r="E301" s="135" t="s">
        <v>2616</v>
      </c>
      <c r="F301" s="135" t="s">
        <v>722</v>
      </c>
      <c r="G301" s="135"/>
      <c r="H301" s="131">
        <v>14.99</v>
      </c>
    </row>
    <row r="302" spans="1:8" x14ac:dyDescent="0.2">
      <c r="A302" s="129" t="s">
        <v>1103</v>
      </c>
      <c r="H302" s="132">
        <v>2922.94</v>
      </c>
    </row>
    <row r="303" spans="1:8" x14ac:dyDescent="0.2">
      <c r="A303" s="129" t="s">
        <v>1235</v>
      </c>
    </row>
    <row r="304" spans="1:8" x14ac:dyDescent="0.2">
      <c r="B304" s="135" t="s">
        <v>1183</v>
      </c>
      <c r="C304" s="135" t="s">
        <v>547</v>
      </c>
      <c r="D304" s="135">
        <v>31224</v>
      </c>
      <c r="E304" s="135" t="s">
        <v>1236</v>
      </c>
      <c r="F304" s="135" t="s">
        <v>722</v>
      </c>
      <c r="G304" s="135" t="s">
        <v>1237</v>
      </c>
      <c r="H304" s="131">
        <v>393.29</v>
      </c>
    </row>
    <row r="305" spans="1:8" x14ac:dyDescent="0.2">
      <c r="B305" s="135" t="s">
        <v>1447</v>
      </c>
      <c r="C305" s="135" t="s">
        <v>547</v>
      </c>
      <c r="D305" s="135">
        <v>50124</v>
      </c>
      <c r="E305" s="135" t="s">
        <v>1236</v>
      </c>
      <c r="F305" s="135" t="s">
        <v>722</v>
      </c>
      <c r="G305" s="135" t="s">
        <v>1581</v>
      </c>
      <c r="H305" s="131">
        <v>666.65</v>
      </c>
    </row>
    <row r="306" spans="1:8" x14ac:dyDescent="0.2">
      <c r="B306" s="135" t="s">
        <v>2145</v>
      </c>
      <c r="C306" s="135" t="s">
        <v>547</v>
      </c>
      <c r="D306" s="135">
        <v>71724</v>
      </c>
      <c r="E306" s="135" t="s">
        <v>1236</v>
      </c>
      <c r="F306" s="135" t="s">
        <v>722</v>
      </c>
      <c r="G306" s="135" t="s">
        <v>2201</v>
      </c>
      <c r="H306" s="131">
        <v>837.44</v>
      </c>
    </row>
    <row r="307" spans="1:8" x14ac:dyDescent="0.2">
      <c r="B307" s="135" t="s">
        <v>2439</v>
      </c>
      <c r="C307" s="135" t="s">
        <v>547</v>
      </c>
      <c r="D307" s="135">
        <v>100224</v>
      </c>
      <c r="E307" s="135" t="s">
        <v>1236</v>
      </c>
      <c r="F307" s="135" t="s">
        <v>722</v>
      </c>
      <c r="G307" s="135" t="s">
        <v>2440</v>
      </c>
      <c r="H307" s="131">
        <v>436.84</v>
      </c>
    </row>
    <row r="308" spans="1:8" x14ac:dyDescent="0.2">
      <c r="A308" s="129" t="s">
        <v>1238</v>
      </c>
      <c r="H308" s="132">
        <v>2334.2199999999998</v>
      </c>
    </row>
    <row r="309" spans="1:8" x14ac:dyDescent="0.2">
      <c r="A309" s="129" t="s">
        <v>1239</v>
      </c>
    </row>
    <row r="310" spans="1:8" x14ac:dyDescent="0.2">
      <c r="B310" s="135" t="s">
        <v>1024</v>
      </c>
      <c r="C310" s="135" t="s">
        <v>3</v>
      </c>
      <c r="D310" s="135"/>
      <c r="E310" s="135" t="s">
        <v>1241</v>
      </c>
      <c r="F310" s="135" t="s">
        <v>722</v>
      </c>
      <c r="G310" s="135"/>
      <c r="H310" s="131">
        <v>30.97</v>
      </c>
    </row>
    <row r="311" spans="1:8" x14ac:dyDescent="0.2">
      <c r="B311" s="135" t="s">
        <v>1197</v>
      </c>
      <c r="C311" s="135" t="s">
        <v>3</v>
      </c>
      <c r="D311" s="135"/>
      <c r="E311" s="135" t="s">
        <v>1240</v>
      </c>
      <c r="F311" s="135" t="s">
        <v>722</v>
      </c>
      <c r="G311" s="135"/>
      <c r="H311" s="131">
        <v>69.400000000000006</v>
      </c>
    </row>
    <row r="312" spans="1:8" x14ac:dyDescent="0.2">
      <c r="B312" s="135" t="s">
        <v>1624</v>
      </c>
      <c r="C312" s="135" t="s">
        <v>3</v>
      </c>
      <c r="D312" s="135"/>
      <c r="E312" s="135"/>
      <c r="F312" s="135" t="s">
        <v>722</v>
      </c>
      <c r="G312" s="135"/>
      <c r="H312" s="131">
        <v>16</v>
      </c>
    </row>
    <row r="313" spans="1:8" x14ac:dyDescent="0.2">
      <c r="B313" s="135" t="s">
        <v>1624</v>
      </c>
      <c r="C313" s="135" t="s">
        <v>3</v>
      </c>
      <c r="D313" s="135"/>
      <c r="E313" s="135" t="s">
        <v>2006</v>
      </c>
      <c r="F313" s="135" t="s">
        <v>722</v>
      </c>
      <c r="G313" s="135"/>
      <c r="H313" s="131">
        <v>20.57</v>
      </c>
    </row>
    <row r="314" spans="1:8" x14ac:dyDescent="0.2">
      <c r="B314" s="135" t="s">
        <v>1788</v>
      </c>
      <c r="C314" s="135" t="s">
        <v>3</v>
      </c>
      <c r="D314" s="135"/>
      <c r="E314" s="135" t="s">
        <v>2007</v>
      </c>
      <c r="F314" s="135" t="s">
        <v>722</v>
      </c>
      <c r="G314" s="135"/>
      <c r="H314" s="131">
        <v>23.04</v>
      </c>
    </row>
    <row r="315" spans="1:8" x14ac:dyDescent="0.2">
      <c r="B315" s="135" t="s">
        <v>1837</v>
      </c>
      <c r="C315" s="135" t="s">
        <v>3</v>
      </c>
      <c r="D315" s="135"/>
      <c r="E315" s="135" t="s">
        <v>2008</v>
      </c>
      <c r="F315" s="135" t="s">
        <v>722</v>
      </c>
      <c r="G315" s="135"/>
      <c r="H315" s="131">
        <v>10.41</v>
      </c>
    </row>
    <row r="316" spans="1:8" x14ac:dyDescent="0.2">
      <c r="B316" s="135" t="s">
        <v>1911</v>
      </c>
      <c r="C316" s="135" t="s">
        <v>3</v>
      </c>
      <c r="D316" s="135"/>
      <c r="E316" s="135" t="s">
        <v>2009</v>
      </c>
      <c r="F316" s="135" t="s">
        <v>722</v>
      </c>
      <c r="G316" s="135"/>
      <c r="H316" s="131">
        <v>945</v>
      </c>
    </row>
    <row r="317" spans="1:8" x14ac:dyDescent="0.2">
      <c r="B317" s="135" t="s">
        <v>2439</v>
      </c>
      <c r="C317" s="135" t="s">
        <v>547</v>
      </c>
      <c r="D317" s="135">
        <v>100224</v>
      </c>
      <c r="E317" s="135" t="s">
        <v>1236</v>
      </c>
      <c r="F317" s="135" t="s">
        <v>722</v>
      </c>
      <c r="G317" s="135" t="s">
        <v>2441</v>
      </c>
      <c r="H317" s="131">
        <v>4</v>
      </c>
    </row>
    <row r="318" spans="1:8" x14ac:dyDescent="0.2">
      <c r="A318" s="129" t="s">
        <v>1242</v>
      </c>
      <c r="H318" s="132">
        <v>1119.3900000000001</v>
      </c>
    </row>
    <row r="319" spans="1:8" x14ac:dyDescent="0.2">
      <c r="A319" s="129" t="s">
        <v>1104</v>
      </c>
    </row>
    <row r="320" spans="1:8" x14ac:dyDescent="0.2">
      <c r="B320" s="135" t="s">
        <v>1230</v>
      </c>
      <c r="C320" s="135" t="s">
        <v>3</v>
      </c>
      <c r="D320" s="135"/>
      <c r="E320" s="135" t="s">
        <v>1231</v>
      </c>
      <c r="F320" s="135" t="s">
        <v>722</v>
      </c>
      <c r="G320" s="135" t="s">
        <v>2202</v>
      </c>
      <c r="H320" s="131">
        <v>7.98</v>
      </c>
    </row>
    <row r="321" spans="1:8" x14ac:dyDescent="0.2">
      <c r="B321" s="135" t="s">
        <v>1232</v>
      </c>
      <c r="C321" s="135" t="s">
        <v>3</v>
      </c>
      <c r="D321" s="135"/>
      <c r="E321" s="135" t="s">
        <v>1234</v>
      </c>
      <c r="F321" s="135" t="s">
        <v>722</v>
      </c>
      <c r="G321" s="135" t="s">
        <v>2203</v>
      </c>
      <c r="H321" s="131">
        <v>284.60000000000002</v>
      </c>
    </row>
    <row r="322" spans="1:8" x14ac:dyDescent="0.2">
      <c r="B322" s="135" t="s">
        <v>954</v>
      </c>
      <c r="C322" s="135" t="s">
        <v>547</v>
      </c>
      <c r="D322" s="135">
        <v>22125</v>
      </c>
      <c r="E322" s="135" t="s">
        <v>1105</v>
      </c>
      <c r="F322" s="135" t="s">
        <v>722</v>
      </c>
      <c r="G322" s="135" t="s">
        <v>1106</v>
      </c>
      <c r="H322" s="131">
        <v>700</v>
      </c>
    </row>
    <row r="323" spans="1:8" x14ac:dyDescent="0.2">
      <c r="A323" s="129" t="s">
        <v>1107</v>
      </c>
      <c r="H323" s="132">
        <v>992.58</v>
      </c>
    </row>
    <row r="324" spans="1:8" x14ac:dyDescent="0.2">
      <c r="A324" s="129" t="s">
        <v>684</v>
      </c>
      <c r="H324" s="132">
        <v>95578.79</v>
      </c>
    </row>
    <row r="325" spans="1:8" x14ac:dyDescent="0.2">
      <c r="A325" s="129" t="s">
        <v>685</v>
      </c>
      <c r="H325" s="132">
        <v>95578.79</v>
      </c>
    </row>
    <row r="326" spans="1:8" x14ac:dyDescent="0.2">
      <c r="A326" s="129" t="s">
        <v>365</v>
      </c>
    </row>
    <row r="327" spans="1:8" x14ac:dyDescent="0.2">
      <c r="A327" s="129" t="s">
        <v>366</v>
      </c>
    </row>
    <row r="328" spans="1:8" x14ac:dyDescent="0.2">
      <c r="B328" s="135" t="s">
        <v>832</v>
      </c>
      <c r="C328" s="135" t="s">
        <v>339</v>
      </c>
      <c r="D328" s="135" t="s">
        <v>835</v>
      </c>
      <c r="E328" s="135"/>
      <c r="F328" s="135" t="s">
        <v>722</v>
      </c>
      <c r="G328" s="135" t="s">
        <v>809</v>
      </c>
      <c r="H328" s="131">
        <v>-631.97</v>
      </c>
    </row>
    <row r="329" spans="1:8" x14ac:dyDescent="0.2">
      <c r="B329" s="135" t="s">
        <v>832</v>
      </c>
      <c r="C329" s="135" t="s">
        <v>339</v>
      </c>
      <c r="D329" s="135" t="s">
        <v>833</v>
      </c>
      <c r="E329" s="135"/>
      <c r="F329" s="135" t="s">
        <v>722</v>
      </c>
      <c r="G329" s="135" t="s">
        <v>809</v>
      </c>
      <c r="H329" s="131">
        <v>631.97</v>
      </c>
    </row>
    <row r="330" spans="1:8" x14ac:dyDescent="0.2">
      <c r="B330" s="135" t="s">
        <v>826</v>
      </c>
      <c r="C330" s="135" t="s">
        <v>339</v>
      </c>
      <c r="D330" s="135" t="s">
        <v>827</v>
      </c>
      <c r="E330" s="135"/>
      <c r="F330" s="135" t="s">
        <v>722</v>
      </c>
      <c r="G330" s="135" t="s">
        <v>828</v>
      </c>
      <c r="H330" s="131">
        <v>631.97</v>
      </c>
    </row>
    <row r="331" spans="1:8" x14ac:dyDescent="0.2">
      <c r="B331" s="135" t="s">
        <v>829</v>
      </c>
      <c r="C331" s="135" t="s">
        <v>339</v>
      </c>
      <c r="D331" s="135" t="s">
        <v>830</v>
      </c>
      <c r="E331" s="135"/>
      <c r="F331" s="135" t="s">
        <v>722</v>
      </c>
      <c r="G331" s="135" t="s">
        <v>831</v>
      </c>
      <c r="H331" s="131">
        <v>631.97</v>
      </c>
    </row>
    <row r="332" spans="1:8" x14ac:dyDescent="0.2">
      <c r="B332" s="135" t="s">
        <v>1015</v>
      </c>
      <c r="C332" s="135" t="s">
        <v>339</v>
      </c>
      <c r="D332" s="135" t="s">
        <v>1016</v>
      </c>
      <c r="E332" s="135"/>
      <c r="F332" s="135" t="s">
        <v>722</v>
      </c>
      <c r="G332" s="135" t="s">
        <v>1017</v>
      </c>
      <c r="H332" s="131">
        <v>600.86</v>
      </c>
    </row>
    <row r="333" spans="1:8" x14ac:dyDescent="0.2">
      <c r="B333" s="135" t="s">
        <v>972</v>
      </c>
      <c r="C333" s="135" t="s">
        <v>339</v>
      </c>
      <c r="D333" s="135" t="s">
        <v>1018</v>
      </c>
      <c r="E333" s="135"/>
      <c r="F333" s="135" t="s">
        <v>722</v>
      </c>
      <c r="G333" s="135" t="s">
        <v>1019</v>
      </c>
      <c r="H333" s="131">
        <v>600.86</v>
      </c>
    </row>
    <row r="334" spans="1:8" x14ac:dyDescent="0.2">
      <c r="B334" s="135" t="s">
        <v>1173</v>
      </c>
      <c r="C334" s="135" t="s">
        <v>339</v>
      </c>
      <c r="D334" s="135" t="s">
        <v>1174</v>
      </c>
      <c r="E334" s="135"/>
      <c r="F334" s="135" t="s">
        <v>722</v>
      </c>
      <c r="G334" s="135" t="s">
        <v>1175</v>
      </c>
      <c r="H334" s="131">
        <v>600.86</v>
      </c>
    </row>
    <row r="335" spans="1:8" x14ac:dyDescent="0.2">
      <c r="B335" s="135" t="s">
        <v>1176</v>
      </c>
      <c r="C335" s="135" t="s">
        <v>339</v>
      </c>
      <c r="D335" s="135" t="s">
        <v>1177</v>
      </c>
      <c r="E335" s="135"/>
      <c r="F335" s="135" t="s">
        <v>722</v>
      </c>
      <c r="G335" s="135" t="s">
        <v>1178</v>
      </c>
      <c r="H335" s="131">
        <v>600.86</v>
      </c>
    </row>
    <row r="336" spans="1:8" x14ac:dyDescent="0.2">
      <c r="B336" s="135" t="s">
        <v>1168</v>
      </c>
      <c r="C336" s="135" t="s">
        <v>339</v>
      </c>
      <c r="D336" s="135" t="s">
        <v>1360</v>
      </c>
      <c r="E336" s="135"/>
      <c r="F336" s="135" t="s">
        <v>722</v>
      </c>
      <c r="G336" s="135" t="s">
        <v>1361</v>
      </c>
      <c r="H336" s="131">
        <v>330.43</v>
      </c>
    </row>
    <row r="337" spans="2:8" x14ac:dyDescent="0.2">
      <c r="B337" s="135" t="s">
        <v>1362</v>
      </c>
      <c r="C337" s="135" t="s">
        <v>339</v>
      </c>
      <c r="D337" s="135" t="s">
        <v>1364</v>
      </c>
      <c r="E337" s="135"/>
      <c r="F337" s="135" t="s">
        <v>722</v>
      </c>
      <c r="G337" s="135" t="s">
        <v>1361</v>
      </c>
      <c r="H337" s="131">
        <v>-330.43</v>
      </c>
    </row>
    <row r="338" spans="2:8" x14ac:dyDescent="0.2">
      <c r="B338" s="135" t="s">
        <v>1362</v>
      </c>
      <c r="C338" s="135" t="s">
        <v>339</v>
      </c>
      <c r="D338" s="135" t="s">
        <v>1363</v>
      </c>
      <c r="E338" s="135"/>
      <c r="F338" s="135" t="s">
        <v>722</v>
      </c>
      <c r="G338" s="135" t="s">
        <v>1361</v>
      </c>
      <c r="H338" s="131">
        <v>600.86</v>
      </c>
    </row>
    <row r="339" spans="2:8" x14ac:dyDescent="0.2">
      <c r="B339" s="135" t="s">
        <v>1312</v>
      </c>
      <c r="C339" s="135" t="s">
        <v>339</v>
      </c>
      <c r="D339" s="135" t="s">
        <v>1365</v>
      </c>
      <c r="E339" s="135"/>
      <c r="F339" s="135" t="s">
        <v>722</v>
      </c>
      <c r="G339" s="135" t="s">
        <v>1366</v>
      </c>
      <c r="H339" s="131">
        <v>600.86</v>
      </c>
    </row>
    <row r="340" spans="2:8" x14ac:dyDescent="0.2">
      <c r="B340" s="135" t="s">
        <v>1542</v>
      </c>
      <c r="C340" s="135" t="s">
        <v>339</v>
      </c>
      <c r="D340" s="135" t="s">
        <v>1543</v>
      </c>
      <c r="E340" s="135"/>
      <c r="F340" s="135" t="s">
        <v>722</v>
      </c>
      <c r="G340" s="135" t="s">
        <v>1544</v>
      </c>
      <c r="H340" s="131">
        <v>600.86</v>
      </c>
    </row>
    <row r="341" spans="2:8" x14ac:dyDescent="0.2">
      <c r="B341" s="135" t="s">
        <v>1545</v>
      </c>
      <c r="C341" s="135" t="s">
        <v>339</v>
      </c>
      <c r="D341" s="135" t="s">
        <v>1546</v>
      </c>
      <c r="E341" s="135"/>
      <c r="F341" s="135" t="s">
        <v>722</v>
      </c>
      <c r="G341" s="135" t="s">
        <v>1547</v>
      </c>
      <c r="H341" s="131">
        <v>600.86</v>
      </c>
    </row>
    <row r="342" spans="2:8" x14ac:dyDescent="0.2">
      <c r="B342" s="135" t="s">
        <v>1548</v>
      </c>
      <c r="C342" s="135" t="s">
        <v>339</v>
      </c>
      <c r="D342" s="135" t="s">
        <v>1549</v>
      </c>
      <c r="E342" s="135"/>
      <c r="F342" s="135" t="s">
        <v>722</v>
      </c>
      <c r="G342" s="135" t="s">
        <v>1550</v>
      </c>
      <c r="H342" s="131">
        <v>600.86</v>
      </c>
    </row>
    <row r="343" spans="2:8" x14ac:dyDescent="0.2">
      <c r="B343" s="135" t="s">
        <v>1608</v>
      </c>
      <c r="C343" s="135" t="s">
        <v>339</v>
      </c>
      <c r="D343" s="135" t="s">
        <v>1656</v>
      </c>
      <c r="E343" s="135"/>
      <c r="F343" s="135" t="s">
        <v>722</v>
      </c>
      <c r="G343" s="135" t="s">
        <v>1550</v>
      </c>
      <c r="H343" s="131">
        <v>600.86</v>
      </c>
    </row>
    <row r="344" spans="2:8" x14ac:dyDescent="0.2">
      <c r="B344" s="135" t="s">
        <v>1608</v>
      </c>
      <c r="C344" s="135" t="s">
        <v>339</v>
      </c>
      <c r="D344" s="135" t="s">
        <v>1655</v>
      </c>
      <c r="E344" s="135"/>
      <c r="F344" s="135" t="s">
        <v>722</v>
      </c>
      <c r="G344" s="135" t="s">
        <v>1550</v>
      </c>
      <c r="H344" s="131">
        <v>-600.86</v>
      </c>
    </row>
    <row r="345" spans="2:8" x14ac:dyDescent="0.2">
      <c r="B345" s="135" t="s">
        <v>1643</v>
      </c>
      <c r="C345" s="135" t="s">
        <v>339</v>
      </c>
      <c r="D345" s="135" t="s">
        <v>1644</v>
      </c>
      <c r="E345" s="135"/>
      <c r="F345" s="135" t="s">
        <v>722</v>
      </c>
      <c r="G345" s="135" t="s">
        <v>1645</v>
      </c>
      <c r="H345" s="131">
        <v>600.86</v>
      </c>
    </row>
    <row r="346" spans="2:8" x14ac:dyDescent="0.2">
      <c r="B346" s="135" t="s">
        <v>1624</v>
      </c>
      <c r="C346" s="135" t="s">
        <v>339</v>
      </c>
      <c r="D346" s="135" t="s">
        <v>1651</v>
      </c>
      <c r="E346" s="135"/>
      <c r="F346" s="135" t="s">
        <v>722</v>
      </c>
      <c r="G346" s="135" t="s">
        <v>1652</v>
      </c>
      <c r="H346" s="131">
        <v>600.86</v>
      </c>
    </row>
    <row r="347" spans="2:8" x14ac:dyDescent="0.2">
      <c r="B347" s="135" t="s">
        <v>1789</v>
      </c>
      <c r="C347" s="135" t="s">
        <v>339</v>
      </c>
      <c r="D347" s="135" t="s">
        <v>1852</v>
      </c>
      <c r="E347" s="135"/>
      <c r="F347" s="135" t="s">
        <v>722</v>
      </c>
      <c r="G347" s="135" t="s">
        <v>1652</v>
      </c>
      <c r="H347" s="131">
        <v>600.86</v>
      </c>
    </row>
    <row r="348" spans="2:8" x14ac:dyDescent="0.2">
      <c r="B348" s="135" t="s">
        <v>1789</v>
      </c>
      <c r="C348" s="135" t="s">
        <v>339</v>
      </c>
      <c r="D348" s="135" t="s">
        <v>1853</v>
      </c>
      <c r="E348" s="135"/>
      <c r="F348" s="135" t="s">
        <v>722</v>
      </c>
      <c r="G348" s="135" t="s">
        <v>1652</v>
      </c>
      <c r="H348" s="131">
        <v>-600.86</v>
      </c>
    </row>
    <row r="349" spans="2:8" x14ac:dyDescent="0.2">
      <c r="B349" s="135" t="s">
        <v>1854</v>
      </c>
      <c r="C349" s="135" t="s">
        <v>339</v>
      </c>
      <c r="D349" s="135" t="s">
        <v>1855</v>
      </c>
      <c r="E349" s="135"/>
      <c r="F349" s="135" t="s">
        <v>722</v>
      </c>
      <c r="G349" s="135" t="s">
        <v>1856</v>
      </c>
      <c r="H349" s="131">
        <v>600.86</v>
      </c>
    </row>
    <row r="350" spans="2:8" x14ac:dyDescent="0.2">
      <c r="B350" s="135" t="s">
        <v>1830</v>
      </c>
      <c r="C350" s="135" t="s">
        <v>339</v>
      </c>
      <c r="D350" s="135" t="s">
        <v>1847</v>
      </c>
      <c r="E350" s="135"/>
      <c r="F350" s="135" t="s">
        <v>722</v>
      </c>
      <c r="G350" s="135"/>
      <c r="H350" s="131">
        <v>600.86</v>
      </c>
    </row>
    <row r="351" spans="2:8" x14ac:dyDescent="0.2">
      <c r="B351" s="135" t="s">
        <v>2097</v>
      </c>
      <c r="C351" s="135" t="s">
        <v>339</v>
      </c>
      <c r="D351" s="135" t="s">
        <v>2099</v>
      </c>
      <c r="E351" s="135"/>
      <c r="F351" s="135" t="s">
        <v>722</v>
      </c>
      <c r="G351" s="135" t="s">
        <v>2100</v>
      </c>
      <c r="H351" s="131">
        <v>600.86</v>
      </c>
    </row>
    <row r="352" spans="2:8" x14ac:dyDescent="0.2">
      <c r="B352" s="135" t="s">
        <v>2097</v>
      </c>
      <c r="C352" s="135" t="s">
        <v>339</v>
      </c>
      <c r="D352" s="135" t="s">
        <v>2098</v>
      </c>
      <c r="E352" s="135"/>
      <c r="F352" s="135" t="s">
        <v>722</v>
      </c>
      <c r="G352" s="135"/>
      <c r="H352" s="131">
        <v>-600.86</v>
      </c>
    </row>
    <row r="353" spans="1:8" x14ac:dyDescent="0.2">
      <c r="B353" s="135" t="s">
        <v>2101</v>
      </c>
      <c r="C353" s="135" t="s">
        <v>339</v>
      </c>
      <c r="D353" s="135" t="s">
        <v>2102</v>
      </c>
      <c r="E353" s="135"/>
      <c r="F353" s="135" t="s">
        <v>722</v>
      </c>
      <c r="G353" s="135" t="s">
        <v>2103</v>
      </c>
      <c r="H353" s="131">
        <v>600.86</v>
      </c>
    </row>
    <row r="354" spans="1:8" x14ac:dyDescent="0.2">
      <c r="B354" s="135" t="s">
        <v>2104</v>
      </c>
      <c r="C354" s="135" t="s">
        <v>339</v>
      </c>
      <c r="D354" s="135" t="s">
        <v>2105</v>
      </c>
      <c r="E354" s="135"/>
      <c r="F354" s="135" t="s">
        <v>722</v>
      </c>
      <c r="G354" s="135" t="s">
        <v>2106</v>
      </c>
      <c r="H354" s="131">
        <v>600.86</v>
      </c>
    </row>
    <row r="355" spans="1:8" x14ac:dyDescent="0.2">
      <c r="B355" s="135" t="s">
        <v>2254</v>
      </c>
      <c r="C355" s="135" t="s">
        <v>339</v>
      </c>
      <c r="D355" s="135" t="s">
        <v>2255</v>
      </c>
      <c r="E355" s="135"/>
      <c r="F355" s="135" t="s">
        <v>722</v>
      </c>
      <c r="G355" s="135" t="s">
        <v>2256</v>
      </c>
      <c r="H355" s="131">
        <v>600.86</v>
      </c>
    </row>
    <row r="356" spans="1:8" x14ac:dyDescent="0.2">
      <c r="B356" s="135" t="s">
        <v>2251</v>
      </c>
      <c r="C356" s="135" t="s">
        <v>339</v>
      </c>
      <c r="D356" s="135" t="s">
        <v>2252</v>
      </c>
      <c r="E356" s="135"/>
      <c r="F356" s="135" t="s">
        <v>722</v>
      </c>
      <c r="G356" s="135" t="s">
        <v>2253</v>
      </c>
      <c r="H356" s="131">
        <v>600.86</v>
      </c>
    </row>
    <row r="357" spans="1:8" ht="25" x14ac:dyDescent="0.2">
      <c r="B357" s="135" t="s">
        <v>2240</v>
      </c>
      <c r="C357" s="135" t="s">
        <v>339</v>
      </c>
      <c r="D357" s="135" t="s">
        <v>2365</v>
      </c>
      <c r="E357" s="135"/>
      <c r="F357" s="135" t="s">
        <v>722</v>
      </c>
      <c r="G357" s="135" t="s">
        <v>2366</v>
      </c>
      <c r="H357" s="131">
        <v>240.34</v>
      </c>
    </row>
    <row r="358" spans="1:8" x14ac:dyDescent="0.2">
      <c r="B358" s="135" t="s">
        <v>2340</v>
      </c>
      <c r="C358" s="135" t="s">
        <v>339</v>
      </c>
      <c r="D358" s="135" t="s">
        <v>2367</v>
      </c>
      <c r="E358" s="135"/>
      <c r="F358" s="135" t="s">
        <v>722</v>
      </c>
      <c r="G358" s="135" t="s">
        <v>2368</v>
      </c>
      <c r="H358" s="131">
        <v>600.86</v>
      </c>
    </row>
    <row r="359" spans="1:8" ht="25" x14ac:dyDescent="0.2">
      <c r="B359" s="135" t="s">
        <v>2340</v>
      </c>
      <c r="C359" s="135" t="s">
        <v>339</v>
      </c>
      <c r="D359" s="135" t="s">
        <v>2369</v>
      </c>
      <c r="E359" s="135"/>
      <c r="F359" s="135" t="s">
        <v>722</v>
      </c>
      <c r="G359" s="135" t="s">
        <v>2366</v>
      </c>
      <c r="H359" s="131">
        <v>-240.34</v>
      </c>
    </row>
    <row r="360" spans="1:8" x14ac:dyDescent="0.2">
      <c r="B360" s="135" t="s">
        <v>2361</v>
      </c>
      <c r="C360" s="135" t="s">
        <v>339</v>
      </c>
      <c r="D360" s="135" t="s">
        <v>2362</v>
      </c>
      <c r="E360" s="135"/>
      <c r="F360" s="135" t="s">
        <v>722</v>
      </c>
      <c r="G360" s="135" t="s">
        <v>2363</v>
      </c>
      <c r="H360" s="131">
        <v>600.86</v>
      </c>
    </row>
    <row r="361" spans="1:8" x14ac:dyDescent="0.2">
      <c r="B361" s="135" t="s">
        <v>2370</v>
      </c>
      <c r="C361" s="135" t="s">
        <v>339</v>
      </c>
      <c r="D361" s="135" t="s">
        <v>2371</v>
      </c>
      <c r="E361" s="135"/>
      <c r="F361" s="135" t="s">
        <v>722</v>
      </c>
      <c r="G361" s="135" t="s">
        <v>2372</v>
      </c>
      <c r="H361" s="131">
        <v>540.77</v>
      </c>
    </row>
    <row r="362" spans="1:8" x14ac:dyDescent="0.2">
      <c r="B362" s="135" t="s">
        <v>2553</v>
      </c>
      <c r="C362" s="135" t="s">
        <v>339</v>
      </c>
      <c r="D362" s="135" t="s">
        <v>2566</v>
      </c>
      <c r="E362" s="135"/>
      <c r="F362" s="135" t="s">
        <v>722</v>
      </c>
      <c r="G362" s="135" t="s">
        <v>2567</v>
      </c>
      <c r="H362" s="131">
        <v>600.86</v>
      </c>
    </row>
    <row r="363" spans="1:8" x14ac:dyDescent="0.2">
      <c r="B363" s="135" t="s">
        <v>2553</v>
      </c>
      <c r="C363" s="135" t="s">
        <v>339</v>
      </c>
      <c r="D363" s="135" t="s">
        <v>2568</v>
      </c>
      <c r="E363" s="135"/>
      <c r="F363" s="135" t="s">
        <v>722</v>
      </c>
      <c r="G363" s="135" t="s">
        <v>2372</v>
      </c>
      <c r="H363" s="131">
        <v>-540.77</v>
      </c>
    </row>
    <row r="364" spans="1:8" x14ac:dyDescent="0.2">
      <c r="B364" s="135" t="s">
        <v>2569</v>
      </c>
      <c r="C364" s="135" t="s">
        <v>339</v>
      </c>
      <c r="D364" s="135" t="s">
        <v>2570</v>
      </c>
      <c r="E364" s="135"/>
      <c r="F364" s="135" t="s">
        <v>722</v>
      </c>
      <c r="G364" s="135" t="s">
        <v>2571</v>
      </c>
      <c r="H364" s="131">
        <v>600.86</v>
      </c>
    </row>
    <row r="365" spans="1:8" x14ac:dyDescent="0.2">
      <c r="B365" s="135" t="s">
        <v>2737</v>
      </c>
      <c r="C365" s="135" t="s">
        <v>339</v>
      </c>
      <c r="D365" s="135" t="s">
        <v>2753</v>
      </c>
      <c r="E365" s="135"/>
      <c r="F365" s="135" t="s">
        <v>722</v>
      </c>
      <c r="G365" s="135" t="s">
        <v>2754</v>
      </c>
      <c r="H365" s="131">
        <v>600.86</v>
      </c>
    </row>
    <row r="366" spans="1:8" x14ac:dyDescent="0.2">
      <c r="B366" s="135" t="s">
        <v>2757</v>
      </c>
      <c r="C366" s="135" t="s">
        <v>339</v>
      </c>
      <c r="D366" s="135" t="s">
        <v>2758</v>
      </c>
      <c r="E366" s="135"/>
      <c r="F366" s="135" t="s">
        <v>722</v>
      </c>
      <c r="G366" s="135" t="s">
        <v>2759</v>
      </c>
      <c r="H366" s="131">
        <v>600.86</v>
      </c>
    </row>
    <row r="367" spans="1:8" x14ac:dyDescent="0.2">
      <c r="A367" s="129" t="s">
        <v>367</v>
      </c>
      <c r="H367" s="132">
        <v>15083.72</v>
      </c>
    </row>
    <row r="368" spans="1:8" x14ac:dyDescent="0.2">
      <c r="A368" s="129" t="s">
        <v>1582</v>
      </c>
    </row>
    <row r="369" spans="1:8" x14ac:dyDescent="0.2">
      <c r="B369" s="135" t="s">
        <v>1524</v>
      </c>
      <c r="C369" s="135" t="s">
        <v>547</v>
      </c>
      <c r="D369" s="135">
        <v>50824</v>
      </c>
      <c r="E369" s="135" t="s">
        <v>1583</v>
      </c>
      <c r="F369" s="135" t="s">
        <v>722</v>
      </c>
      <c r="G369" s="135" t="s">
        <v>1584</v>
      </c>
      <c r="H369" s="131">
        <v>0</v>
      </c>
    </row>
    <row r="370" spans="1:8" x14ac:dyDescent="0.2">
      <c r="B370" s="135" t="s">
        <v>2240</v>
      </c>
      <c r="C370" s="135" t="s">
        <v>547</v>
      </c>
      <c r="D370" s="135">
        <v>93024</v>
      </c>
      <c r="E370" s="135" t="s">
        <v>1583</v>
      </c>
      <c r="F370" s="135" t="s">
        <v>722</v>
      </c>
      <c r="G370" s="135" t="s">
        <v>2303</v>
      </c>
      <c r="H370" s="131">
        <v>520.02</v>
      </c>
    </row>
    <row r="371" spans="1:8" x14ac:dyDescent="0.2">
      <c r="A371" s="129" t="s">
        <v>1585</v>
      </c>
      <c r="H371" s="132">
        <v>520.02</v>
      </c>
    </row>
    <row r="372" spans="1:8" x14ac:dyDescent="0.2">
      <c r="A372" s="129" t="s">
        <v>569</v>
      </c>
    </row>
    <row r="373" spans="1:8" x14ac:dyDescent="0.2">
      <c r="B373" s="135" t="s">
        <v>832</v>
      </c>
      <c r="C373" s="135" t="s">
        <v>339</v>
      </c>
      <c r="D373" s="135" t="s">
        <v>835</v>
      </c>
      <c r="E373" s="135"/>
      <c r="F373" s="135" t="s">
        <v>722</v>
      </c>
      <c r="G373" s="135" t="s">
        <v>809</v>
      </c>
      <c r="H373" s="131">
        <v>-21.92</v>
      </c>
    </row>
    <row r="374" spans="1:8" x14ac:dyDescent="0.2">
      <c r="B374" s="135" t="s">
        <v>832</v>
      </c>
      <c r="C374" s="135" t="s">
        <v>339</v>
      </c>
      <c r="D374" s="135" t="s">
        <v>833</v>
      </c>
      <c r="E374" s="135"/>
      <c r="F374" s="135" t="s">
        <v>722</v>
      </c>
      <c r="G374" s="135" t="s">
        <v>809</v>
      </c>
      <c r="H374" s="131">
        <v>48.34</v>
      </c>
    </row>
    <row r="375" spans="1:8" x14ac:dyDescent="0.2">
      <c r="B375" s="135" t="s">
        <v>826</v>
      </c>
      <c r="C375" s="135" t="s">
        <v>339</v>
      </c>
      <c r="D375" s="135" t="s">
        <v>827</v>
      </c>
      <c r="E375" s="135"/>
      <c r="F375" s="135" t="s">
        <v>722</v>
      </c>
      <c r="G375" s="135" t="s">
        <v>828</v>
      </c>
      <c r="H375" s="131">
        <v>48.35</v>
      </c>
    </row>
    <row r="376" spans="1:8" x14ac:dyDescent="0.2">
      <c r="B376" s="135" t="s">
        <v>829</v>
      </c>
      <c r="C376" s="135" t="s">
        <v>339</v>
      </c>
      <c r="D376" s="135" t="s">
        <v>830</v>
      </c>
      <c r="E376" s="135"/>
      <c r="F376" s="135" t="s">
        <v>722</v>
      </c>
      <c r="G376" s="135" t="s">
        <v>831</v>
      </c>
      <c r="H376" s="131">
        <v>48.35</v>
      </c>
    </row>
    <row r="377" spans="1:8" x14ac:dyDescent="0.2">
      <c r="B377" s="135" t="s">
        <v>1015</v>
      </c>
      <c r="C377" s="135" t="s">
        <v>339</v>
      </c>
      <c r="D377" s="135" t="s">
        <v>1016</v>
      </c>
      <c r="E377" s="135"/>
      <c r="F377" s="135" t="s">
        <v>722</v>
      </c>
      <c r="G377" s="135" t="s">
        <v>1017</v>
      </c>
      <c r="H377" s="131">
        <v>45.96</v>
      </c>
    </row>
    <row r="378" spans="1:8" x14ac:dyDescent="0.2">
      <c r="B378" s="135" t="s">
        <v>972</v>
      </c>
      <c r="C378" s="135" t="s">
        <v>339</v>
      </c>
      <c r="D378" s="135" t="s">
        <v>1018</v>
      </c>
      <c r="E378" s="135"/>
      <c r="F378" s="135" t="s">
        <v>722</v>
      </c>
      <c r="G378" s="135" t="s">
        <v>1019</v>
      </c>
      <c r="H378" s="131">
        <v>45.97</v>
      </c>
    </row>
    <row r="379" spans="1:8" x14ac:dyDescent="0.2">
      <c r="B379" s="135" t="s">
        <v>1173</v>
      </c>
      <c r="C379" s="135" t="s">
        <v>339</v>
      </c>
      <c r="D379" s="135" t="s">
        <v>1174</v>
      </c>
      <c r="E379" s="135"/>
      <c r="F379" s="135" t="s">
        <v>722</v>
      </c>
      <c r="G379" s="135" t="s">
        <v>1175</v>
      </c>
      <c r="H379" s="131">
        <v>45.97</v>
      </c>
    </row>
    <row r="380" spans="1:8" x14ac:dyDescent="0.2">
      <c r="B380" s="135" t="s">
        <v>1176</v>
      </c>
      <c r="C380" s="135" t="s">
        <v>339</v>
      </c>
      <c r="D380" s="135" t="s">
        <v>1177</v>
      </c>
      <c r="E380" s="135"/>
      <c r="F380" s="135" t="s">
        <v>722</v>
      </c>
      <c r="G380" s="135" t="s">
        <v>1178</v>
      </c>
      <c r="H380" s="131">
        <v>45.96</v>
      </c>
    </row>
    <row r="381" spans="1:8" x14ac:dyDescent="0.2">
      <c r="B381" s="135" t="s">
        <v>1168</v>
      </c>
      <c r="C381" s="135" t="s">
        <v>339</v>
      </c>
      <c r="D381" s="135" t="s">
        <v>1360</v>
      </c>
      <c r="E381" s="135"/>
      <c r="F381" s="135" t="s">
        <v>722</v>
      </c>
      <c r="G381" s="135" t="s">
        <v>1361</v>
      </c>
      <c r="H381" s="131">
        <v>22.98</v>
      </c>
    </row>
    <row r="382" spans="1:8" x14ac:dyDescent="0.2">
      <c r="B382" s="135" t="s">
        <v>1362</v>
      </c>
      <c r="C382" s="135" t="s">
        <v>339</v>
      </c>
      <c r="D382" s="135" t="s">
        <v>1363</v>
      </c>
      <c r="E382" s="135"/>
      <c r="F382" s="135" t="s">
        <v>722</v>
      </c>
      <c r="G382" s="135" t="s">
        <v>1361</v>
      </c>
      <c r="H382" s="131">
        <v>45.96</v>
      </c>
    </row>
    <row r="383" spans="1:8" x14ac:dyDescent="0.2">
      <c r="B383" s="135" t="s">
        <v>1362</v>
      </c>
      <c r="C383" s="135" t="s">
        <v>339</v>
      </c>
      <c r="D383" s="135" t="s">
        <v>1364</v>
      </c>
      <c r="E383" s="135"/>
      <c r="F383" s="135" t="s">
        <v>722</v>
      </c>
      <c r="G383" s="135" t="s">
        <v>1361</v>
      </c>
      <c r="H383" s="131">
        <v>-22.98</v>
      </c>
    </row>
    <row r="384" spans="1:8" x14ac:dyDescent="0.2">
      <c r="B384" s="135" t="s">
        <v>1426</v>
      </c>
      <c r="C384" s="135" t="s">
        <v>339</v>
      </c>
      <c r="D384" s="135" t="s">
        <v>1427</v>
      </c>
      <c r="E384" s="135"/>
      <c r="F384" s="135" t="s">
        <v>722</v>
      </c>
      <c r="G384" s="135" t="s">
        <v>1428</v>
      </c>
      <c r="H384" s="131">
        <v>401.59</v>
      </c>
    </row>
    <row r="385" spans="2:8" x14ac:dyDescent="0.2">
      <c r="B385" s="135" t="s">
        <v>1312</v>
      </c>
      <c r="C385" s="135" t="s">
        <v>339</v>
      </c>
      <c r="D385" s="135" t="s">
        <v>1365</v>
      </c>
      <c r="E385" s="135"/>
      <c r="F385" s="135" t="s">
        <v>722</v>
      </c>
      <c r="G385" s="135" t="s">
        <v>1366</v>
      </c>
      <c r="H385" s="131">
        <v>45.98</v>
      </c>
    </row>
    <row r="386" spans="2:8" x14ac:dyDescent="0.2">
      <c r="B386" s="135" t="s">
        <v>1542</v>
      </c>
      <c r="C386" s="135" t="s">
        <v>339</v>
      </c>
      <c r="D386" s="135" t="s">
        <v>1543</v>
      </c>
      <c r="E386" s="135"/>
      <c r="F386" s="135" t="s">
        <v>722</v>
      </c>
      <c r="G386" s="135" t="s">
        <v>1544</v>
      </c>
      <c r="H386" s="131">
        <v>45.96</v>
      </c>
    </row>
    <row r="387" spans="2:8" x14ac:dyDescent="0.2">
      <c r="B387" s="135" t="s">
        <v>1545</v>
      </c>
      <c r="C387" s="135" t="s">
        <v>339</v>
      </c>
      <c r="D387" s="135" t="s">
        <v>1546</v>
      </c>
      <c r="E387" s="135"/>
      <c r="F387" s="135" t="s">
        <v>722</v>
      </c>
      <c r="G387" s="135" t="s">
        <v>1547</v>
      </c>
      <c r="H387" s="131">
        <v>45.96</v>
      </c>
    </row>
    <row r="388" spans="2:8" x14ac:dyDescent="0.2">
      <c r="B388" s="135" t="s">
        <v>1545</v>
      </c>
      <c r="C388" s="135" t="s">
        <v>339</v>
      </c>
      <c r="D388" s="135" t="s">
        <v>1546</v>
      </c>
      <c r="E388" s="135"/>
      <c r="F388" s="135" t="s">
        <v>722</v>
      </c>
      <c r="G388" s="135" t="s">
        <v>1547</v>
      </c>
      <c r="H388" s="131">
        <v>197.17</v>
      </c>
    </row>
    <row r="389" spans="2:8" x14ac:dyDescent="0.2">
      <c r="B389" s="135" t="s">
        <v>1608</v>
      </c>
      <c r="C389" s="135" t="s">
        <v>339</v>
      </c>
      <c r="D389" s="135" t="s">
        <v>1656</v>
      </c>
      <c r="E389" s="135"/>
      <c r="F389" s="135" t="s">
        <v>722</v>
      </c>
      <c r="G389" s="135" t="s">
        <v>1550</v>
      </c>
      <c r="H389" s="131">
        <v>45.97</v>
      </c>
    </row>
    <row r="390" spans="2:8" x14ac:dyDescent="0.2">
      <c r="B390" s="135" t="s">
        <v>1643</v>
      </c>
      <c r="C390" s="135" t="s">
        <v>339</v>
      </c>
      <c r="D390" s="135" t="s">
        <v>1644</v>
      </c>
      <c r="E390" s="135"/>
      <c r="F390" s="135" t="s">
        <v>722</v>
      </c>
      <c r="G390" s="135" t="s">
        <v>1645</v>
      </c>
      <c r="H390" s="131">
        <v>45.97</v>
      </c>
    </row>
    <row r="391" spans="2:8" x14ac:dyDescent="0.2">
      <c r="B391" s="135" t="s">
        <v>1643</v>
      </c>
      <c r="C391" s="135" t="s">
        <v>339</v>
      </c>
      <c r="D391" s="135" t="s">
        <v>1644</v>
      </c>
      <c r="E391" s="135"/>
      <c r="F391" s="135" t="s">
        <v>722</v>
      </c>
      <c r="G391" s="135" t="s">
        <v>1645</v>
      </c>
      <c r="H391" s="131">
        <v>75.03</v>
      </c>
    </row>
    <row r="392" spans="2:8" x14ac:dyDescent="0.2">
      <c r="B392" s="135" t="s">
        <v>1624</v>
      </c>
      <c r="C392" s="135" t="s">
        <v>339</v>
      </c>
      <c r="D392" s="135" t="s">
        <v>1651</v>
      </c>
      <c r="E392" s="135"/>
      <c r="F392" s="135" t="s">
        <v>722</v>
      </c>
      <c r="G392" s="135" t="s">
        <v>1652</v>
      </c>
      <c r="H392" s="131">
        <v>45.96</v>
      </c>
    </row>
    <row r="393" spans="2:8" x14ac:dyDescent="0.2">
      <c r="B393" s="135" t="s">
        <v>1789</v>
      </c>
      <c r="C393" s="135" t="s">
        <v>339</v>
      </c>
      <c r="D393" s="135" t="s">
        <v>1852</v>
      </c>
      <c r="E393" s="135"/>
      <c r="F393" s="135" t="s">
        <v>722</v>
      </c>
      <c r="G393" s="135" t="s">
        <v>1652</v>
      </c>
      <c r="H393" s="131">
        <v>45.96</v>
      </c>
    </row>
    <row r="394" spans="2:8" x14ac:dyDescent="0.2">
      <c r="B394" s="135" t="s">
        <v>1789</v>
      </c>
      <c r="C394" s="135" t="s">
        <v>339</v>
      </c>
      <c r="D394" s="135" t="s">
        <v>1853</v>
      </c>
      <c r="E394" s="135"/>
      <c r="F394" s="135" t="s">
        <v>722</v>
      </c>
      <c r="G394" s="135" t="s">
        <v>1652</v>
      </c>
      <c r="H394" s="131">
        <v>-45.96</v>
      </c>
    </row>
    <row r="395" spans="2:8" x14ac:dyDescent="0.2">
      <c r="B395" s="135" t="s">
        <v>1854</v>
      </c>
      <c r="C395" s="135" t="s">
        <v>339</v>
      </c>
      <c r="D395" s="135" t="s">
        <v>1855</v>
      </c>
      <c r="E395" s="135"/>
      <c r="F395" s="135" t="s">
        <v>722</v>
      </c>
      <c r="G395" s="135" t="s">
        <v>1856</v>
      </c>
      <c r="H395" s="131">
        <v>45.97</v>
      </c>
    </row>
    <row r="396" spans="2:8" x14ac:dyDescent="0.2">
      <c r="B396" s="135" t="s">
        <v>1830</v>
      </c>
      <c r="C396" s="135" t="s">
        <v>339</v>
      </c>
      <c r="D396" s="135" t="s">
        <v>1847</v>
      </c>
      <c r="E396" s="135"/>
      <c r="F396" s="135" t="s">
        <v>722</v>
      </c>
      <c r="G396" s="135"/>
      <c r="H396" s="131">
        <v>45.96</v>
      </c>
    </row>
    <row r="397" spans="2:8" x14ac:dyDescent="0.2">
      <c r="B397" s="135" t="s">
        <v>2097</v>
      </c>
      <c r="C397" s="135" t="s">
        <v>339</v>
      </c>
      <c r="D397" s="135" t="s">
        <v>2098</v>
      </c>
      <c r="E397" s="135"/>
      <c r="F397" s="135" t="s">
        <v>722</v>
      </c>
      <c r="G397" s="135"/>
      <c r="H397" s="131">
        <v>-45.96</v>
      </c>
    </row>
    <row r="398" spans="2:8" x14ac:dyDescent="0.2">
      <c r="B398" s="135" t="s">
        <v>2097</v>
      </c>
      <c r="C398" s="135" t="s">
        <v>339</v>
      </c>
      <c r="D398" s="135" t="s">
        <v>2099</v>
      </c>
      <c r="E398" s="135"/>
      <c r="F398" s="135" t="s">
        <v>722</v>
      </c>
      <c r="G398" s="135" t="s">
        <v>2100</v>
      </c>
      <c r="H398" s="131">
        <v>45.96</v>
      </c>
    </row>
    <row r="399" spans="2:8" x14ac:dyDescent="0.2">
      <c r="B399" s="135" t="s">
        <v>2101</v>
      </c>
      <c r="C399" s="135" t="s">
        <v>339</v>
      </c>
      <c r="D399" s="135" t="s">
        <v>2102</v>
      </c>
      <c r="E399" s="135"/>
      <c r="F399" s="135" t="s">
        <v>722</v>
      </c>
      <c r="G399" s="135" t="s">
        <v>2103</v>
      </c>
      <c r="H399" s="131">
        <v>45.97</v>
      </c>
    </row>
    <row r="400" spans="2:8" x14ac:dyDescent="0.2">
      <c r="B400" s="135" t="s">
        <v>2104</v>
      </c>
      <c r="C400" s="135" t="s">
        <v>339</v>
      </c>
      <c r="D400" s="135" t="s">
        <v>2105</v>
      </c>
      <c r="E400" s="135"/>
      <c r="F400" s="135" t="s">
        <v>722</v>
      </c>
      <c r="G400" s="135" t="s">
        <v>2106</v>
      </c>
      <c r="H400" s="131">
        <v>45.97</v>
      </c>
    </row>
    <row r="401" spans="2:8" x14ac:dyDescent="0.2">
      <c r="B401" s="135" t="s">
        <v>2254</v>
      </c>
      <c r="C401" s="135" t="s">
        <v>339</v>
      </c>
      <c r="D401" s="135" t="s">
        <v>2255</v>
      </c>
      <c r="E401" s="135"/>
      <c r="F401" s="135" t="s">
        <v>722</v>
      </c>
      <c r="G401" s="135" t="s">
        <v>2256</v>
      </c>
      <c r="H401" s="131">
        <v>45.96</v>
      </c>
    </row>
    <row r="402" spans="2:8" x14ac:dyDescent="0.2">
      <c r="B402" s="135" t="s">
        <v>2251</v>
      </c>
      <c r="C402" s="135" t="s">
        <v>339</v>
      </c>
      <c r="D402" s="135" t="s">
        <v>2252</v>
      </c>
      <c r="E402" s="135"/>
      <c r="F402" s="135" t="s">
        <v>722</v>
      </c>
      <c r="G402" s="135" t="s">
        <v>2253</v>
      </c>
      <c r="H402" s="131">
        <v>45.96</v>
      </c>
    </row>
    <row r="403" spans="2:8" x14ac:dyDescent="0.2">
      <c r="B403" s="135" t="s">
        <v>2340</v>
      </c>
      <c r="C403" s="135" t="s">
        <v>339</v>
      </c>
      <c r="D403" s="135" t="s">
        <v>2367</v>
      </c>
      <c r="E403" s="135"/>
      <c r="F403" s="135" t="s">
        <v>722</v>
      </c>
      <c r="G403" s="135" t="s">
        <v>2368</v>
      </c>
      <c r="H403" s="131">
        <v>45.98</v>
      </c>
    </row>
    <row r="404" spans="2:8" x14ac:dyDescent="0.2">
      <c r="B404" s="135" t="s">
        <v>2361</v>
      </c>
      <c r="C404" s="135" t="s">
        <v>339</v>
      </c>
      <c r="D404" s="135" t="s">
        <v>2362</v>
      </c>
      <c r="E404" s="135"/>
      <c r="F404" s="135" t="s">
        <v>722</v>
      </c>
      <c r="G404" s="135" t="s">
        <v>2363</v>
      </c>
      <c r="H404" s="131">
        <v>45.96</v>
      </c>
    </row>
    <row r="405" spans="2:8" x14ac:dyDescent="0.2">
      <c r="B405" s="135" t="s">
        <v>2370</v>
      </c>
      <c r="C405" s="135" t="s">
        <v>339</v>
      </c>
      <c r="D405" s="135" t="s">
        <v>2371</v>
      </c>
      <c r="E405" s="135"/>
      <c r="F405" s="135" t="s">
        <v>722</v>
      </c>
      <c r="G405" s="135" t="s">
        <v>2372</v>
      </c>
      <c r="H405" s="131">
        <v>41.36</v>
      </c>
    </row>
    <row r="406" spans="2:8" x14ac:dyDescent="0.2">
      <c r="B406" s="135" t="s">
        <v>2553</v>
      </c>
      <c r="C406" s="135" t="s">
        <v>339</v>
      </c>
      <c r="D406" s="135" t="s">
        <v>2568</v>
      </c>
      <c r="E406" s="135"/>
      <c r="F406" s="135" t="s">
        <v>722</v>
      </c>
      <c r="G406" s="135" t="s">
        <v>2372</v>
      </c>
      <c r="H406" s="131">
        <v>-41.36</v>
      </c>
    </row>
    <row r="407" spans="2:8" x14ac:dyDescent="0.2">
      <c r="B407" s="135" t="s">
        <v>2553</v>
      </c>
      <c r="C407" s="135" t="s">
        <v>339</v>
      </c>
      <c r="D407" s="135" t="s">
        <v>2566</v>
      </c>
      <c r="E407" s="135"/>
      <c r="F407" s="135" t="s">
        <v>722</v>
      </c>
      <c r="G407" s="135" t="s">
        <v>2567</v>
      </c>
      <c r="H407" s="131">
        <v>45.96</v>
      </c>
    </row>
    <row r="408" spans="2:8" x14ac:dyDescent="0.2">
      <c r="B408" s="135" t="s">
        <v>2569</v>
      </c>
      <c r="C408" s="135" t="s">
        <v>339</v>
      </c>
      <c r="D408" s="135" t="s">
        <v>2570</v>
      </c>
      <c r="E408" s="135"/>
      <c r="F408" s="135" t="s">
        <v>722</v>
      </c>
      <c r="G408" s="135" t="s">
        <v>2571</v>
      </c>
      <c r="H408" s="131">
        <v>45.97</v>
      </c>
    </row>
    <row r="409" spans="2:8" x14ac:dyDescent="0.2">
      <c r="B409" s="135" t="s">
        <v>2548</v>
      </c>
      <c r="C409" s="135" t="s">
        <v>339</v>
      </c>
      <c r="D409" s="135" t="s">
        <v>2572</v>
      </c>
      <c r="E409" s="135"/>
      <c r="F409" s="135" t="s">
        <v>722</v>
      </c>
      <c r="G409" s="135" t="s">
        <v>2573</v>
      </c>
      <c r="H409" s="131">
        <v>540.77</v>
      </c>
    </row>
    <row r="410" spans="2:8" x14ac:dyDescent="0.2">
      <c r="B410" s="135" t="s">
        <v>2548</v>
      </c>
      <c r="C410" s="135" t="s">
        <v>339</v>
      </c>
      <c r="D410" s="135" t="s">
        <v>2572</v>
      </c>
      <c r="E410" s="135"/>
      <c r="F410" s="135" t="s">
        <v>722</v>
      </c>
      <c r="G410" s="135" t="s">
        <v>2573</v>
      </c>
      <c r="H410" s="131">
        <v>41.37</v>
      </c>
    </row>
    <row r="411" spans="2:8" x14ac:dyDescent="0.2">
      <c r="B411" s="135" t="s">
        <v>2737</v>
      </c>
      <c r="C411" s="135" t="s">
        <v>339</v>
      </c>
      <c r="D411" s="135" t="s">
        <v>2753</v>
      </c>
      <c r="E411" s="135"/>
      <c r="F411" s="135" t="s">
        <v>722</v>
      </c>
      <c r="G411" s="135" t="s">
        <v>2754</v>
      </c>
      <c r="H411" s="131">
        <v>45.97</v>
      </c>
    </row>
    <row r="412" spans="2:8" x14ac:dyDescent="0.2">
      <c r="B412" s="135" t="s">
        <v>2755</v>
      </c>
      <c r="C412" s="135" t="s">
        <v>339</v>
      </c>
      <c r="D412" s="135" t="s">
        <v>2756</v>
      </c>
      <c r="E412" s="135"/>
      <c r="F412" s="135" t="s">
        <v>722</v>
      </c>
      <c r="G412" s="135" t="s">
        <v>2573</v>
      </c>
      <c r="H412" s="131">
        <v>-41.37</v>
      </c>
    </row>
    <row r="413" spans="2:8" x14ac:dyDescent="0.2">
      <c r="B413" s="135" t="s">
        <v>2755</v>
      </c>
      <c r="C413" s="135" t="s">
        <v>339</v>
      </c>
      <c r="D413" s="135" t="s">
        <v>2756</v>
      </c>
      <c r="E413" s="135"/>
      <c r="F413" s="135" t="s">
        <v>722</v>
      </c>
      <c r="G413" s="135" t="s">
        <v>2573</v>
      </c>
      <c r="H413" s="131">
        <v>-540.77</v>
      </c>
    </row>
    <row r="414" spans="2:8" x14ac:dyDescent="0.2">
      <c r="B414" s="135" t="s">
        <v>2757</v>
      </c>
      <c r="C414" s="135" t="s">
        <v>339</v>
      </c>
      <c r="D414" s="135" t="s">
        <v>2758</v>
      </c>
      <c r="E414" s="135"/>
      <c r="F414" s="135" t="s">
        <v>722</v>
      </c>
      <c r="G414" s="135" t="s">
        <v>2759</v>
      </c>
      <c r="H414" s="131">
        <v>42.96</v>
      </c>
    </row>
    <row r="415" spans="2:8" x14ac:dyDescent="0.2">
      <c r="B415" s="135" t="s">
        <v>2741</v>
      </c>
      <c r="C415" s="135" t="s">
        <v>339</v>
      </c>
      <c r="D415" s="135" t="s">
        <v>2760</v>
      </c>
      <c r="E415" s="135"/>
      <c r="F415" s="135" t="s">
        <v>722</v>
      </c>
      <c r="G415" s="135" t="s">
        <v>2761</v>
      </c>
      <c r="H415" s="131">
        <v>600.86</v>
      </c>
    </row>
    <row r="416" spans="2:8" x14ac:dyDescent="0.2">
      <c r="B416" s="135" t="s">
        <v>2741</v>
      </c>
      <c r="C416" s="135" t="s">
        <v>339</v>
      </c>
      <c r="D416" s="135" t="s">
        <v>2760</v>
      </c>
      <c r="E416" s="135"/>
      <c r="F416" s="135" t="s">
        <v>722</v>
      </c>
      <c r="G416" s="135" t="s">
        <v>2761</v>
      </c>
      <c r="H416" s="131">
        <v>45.96</v>
      </c>
    </row>
    <row r="417" spans="1:8" x14ac:dyDescent="0.2">
      <c r="A417" s="129" t="s">
        <v>570</v>
      </c>
      <c r="H417" s="132">
        <v>2497.94</v>
      </c>
    </row>
    <row r="418" spans="1:8" x14ac:dyDescent="0.2">
      <c r="A418" s="129" t="s">
        <v>1586</v>
      </c>
    </row>
    <row r="419" spans="1:8" x14ac:dyDescent="0.2">
      <c r="B419" s="135" t="s">
        <v>1524</v>
      </c>
      <c r="C419" s="135" t="s">
        <v>547</v>
      </c>
      <c r="D419" s="135">
        <v>50824</v>
      </c>
      <c r="E419" s="135" t="s">
        <v>1583</v>
      </c>
      <c r="F419" s="135" t="s">
        <v>722</v>
      </c>
      <c r="G419" s="135" t="s">
        <v>1588</v>
      </c>
      <c r="H419" s="131">
        <v>17.11</v>
      </c>
    </row>
    <row r="420" spans="1:8" x14ac:dyDescent="0.2">
      <c r="B420" s="135" t="s">
        <v>1524</v>
      </c>
      <c r="C420" s="135" t="s">
        <v>547</v>
      </c>
      <c r="D420" s="135">
        <v>50824</v>
      </c>
      <c r="E420" s="135" t="s">
        <v>1583</v>
      </c>
      <c r="F420" s="135" t="s">
        <v>722</v>
      </c>
      <c r="G420" s="135" t="s">
        <v>1587</v>
      </c>
      <c r="H420" s="131">
        <v>50.92</v>
      </c>
    </row>
    <row r="421" spans="1:8" x14ac:dyDescent="0.2">
      <c r="B421" s="135" t="s">
        <v>2240</v>
      </c>
      <c r="C421" s="135" t="s">
        <v>547</v>
      </c>
      <c r="D421" s="135">
        <v>93024</v>
      </c>
      <c r="E421" s="135" t="s">
        <v>1583</v>
      </c>
      <c r="F421" s="135" t="s">
        <v>722</v>
      </c>
      <c r="G421" s="135" t="s">
        <v>2304</v>
      </c>
      <c r="H421" s="131">
        <v>1194.96</v>
      </c>
    </row>
    <row r="422" spans="1:8" x14ac:dyDescent="0.2">
      <c r="B422" s="135" t="s">
        <v>2240</v>
      </c>
      <c r="C422" s="135" t="s">
        <v>547</v>
      </c>
      <c r="D422" s="135">
        <v>93024</v>
      </c>
      <c r="E422" s="135" t="s">
        <v>1583</v>
      </c>
      <c r="F422" s="135" t="s">
        <v>722</v>
      </c>
      <c r="G422" s="135" t="s">
        <v>2305</v>
      </c>
      <c r="H422" s="131">
        <v>282.74</v>
      </c>
    </row>
    <row r="423" spans="1:8" x14ac:dyDescent="0.2">
      <c r="A423" s="129" t="s">
        <v>1589</v>
      </c>
      <c r="H423" s="132">
        <v>1545.73</v>
      </c>
    </row>
    <row r="424" spans="1:8" x14ac:dyDescent="0.2">
      <c r="A424" s="129" t="s">
        <v>368</v>
      </c>
      <c r="H424" s="132">
        <v>19647.41</v>
      </c>
    </row>
    <row r="425" spans="1:8" x14ac:dyDescent="0.2">
      <c r="A425" s="129" t="s">
        <v>604</v>
      </c>
    </row>
    <row r="426" spans="1:8" x14ac:dyDescent="0.2">
      <c r="A426" s="129" t="s">
        <v>605</v>
      </c>
    </row>
    <row r="427" spans="1:8" x14ac:dyDescent="0.2">
      <c r="B427" s="135" t="s">
        <v>832</v>
      </c>
      <c r="C427" s="135" t="s">
        <v>339</v>
      </c>
      <c r="D427" s="135" t="s">
        <v>833</v>
      </c>
      <c r="E427" s="135"/>
      <c r="F427" s="135" t="s">
        <v>722</v>
      </c>
      <c r="G427" s="135" t="s">
        <v>809</v>
      </c>
      <c r="H427" s="131">
        <v>941.85</v>
      </c>
    </row>
    <row r="428" spans="1:8" x14ac:dyDescent="0.2">
      <c r="B428" s="135" t="s">
        <v>832</v>
      </c>
      <c r="C428" s="135" t="s">
        <v>339</v>
      </c>
      <c r="D428" s="135" t="s">
        <v>835</v>
      </c>
      <c r="E428" s="135"/>
      <c r="F428" s="135" t="s">
        <v>722</v>
      </c>
      <c r="G428" s="135" t="s">
        <v>809</v>
      </c>
      <c r="H428" s="131">
        <v>-791.7</v>
      </c>
    </row>
    <row r="429" spans="1:8" x14ac:dyDescent="0.2">
      <c r="B429" s="135" t="s">
        <v>826</v>
      </c>
      <c r="C429" s="135" t="s">
        <v>339</v>
      </c>
      <c r="D429" s="135" t="s">
        <v>827</v>
      </c>
      <c r="E429" s="135"/>
      <c r="F429" s="135" t="s">
        <v>722</v>
      </c>
      <c r="G429" s="135" t="s">
        <v>828</v>
      </c>
      <c r="H429" s="131">
        <v>354.9</v>
      </c>
    </row>
    <row r="430" spans="1:8" x14ac:dyDescent="0.2">
      <c r="B430" s="135" t="s">
        <v>829</v>
      </c>
      <c r="C430" s="135" t="s">
        <v>339</v>
      </c>
      <c r="D430" s="135" t="s">
        <v>830</v>
      </c>
      <c r="E430" s="135"/>
      <c r="F430" s="135" t="s">
        <v>722</v>
      </c>
      <c r="G430" s="135" t="s">
        <v>831</v>
      </c>
      <c r="H430" s="131">
        <v>109.2</v>
      </c>
    </row>
    <row r="431" spans="1:8" x14ac:dyDescent="0.2">
      <c r="B431" s="135" t="s">
        <v>1015</v>
      </c>
      <c r="C431" s="135" t="s">
        <v>339</v>
      </c>
      <c r="D431" s="135" t="s">
        <v>1016</v>
      </c>
      <c r="E431" s="135"/>
      <c r="F431" s="135" t="s">
        <v>722</v>
      </c>
      <c r="G431" s="135" t="s">
        <v>1017</v>
      </c>
      <c r="H431" s="131">
        <v>852.26</v>
      </c>
    </row>
    <row r="432" spans="1:8" x14ac:dyDescent="0.2">
      <c r="B432" s="135" t="s">
        <v>972</v>
      </c>
      <c r="C432" s="135" t="s">
        <v>339</v>
      </c>
      <c r="D432" s="135" t="s">
        <v>1018</v>
      </c>
      <c r="E432" s="135"/>
      <c r="F432" s="135" t="s">
        <v>722</v>
      </c>
      <c r="G432" s="135" t="s">
        <v>1019</v>
      </c>
      <c r="H432" s="131">
        <v>866.7</v>
      </c>
    </row>
    <row r="433" spans="2:8" x14ac:dyDescent="0.2">
      <c r="B433" s="135" t="s">
        <v>1173</v>
      </c>
      <c r="C433" s="135" t="s">
        <v>339</v>
      </c>
      <c r="D433" s="135" t="s">
        <v>1174</v>
      </c>
      <c r="E433" s="135"/>
      <c r="F433" s="135" t="s">
        <v>722</v>
      </c>
      <c r="G433" s="135" t="s">
        <v>1175</v>
      </c>
      <c r="H433" s="131">
        <v>212.93</v>
      </c>
    </row>
    <row r="434" spans="2:8" x14ac:dyDescent="0.2">
      <c r="B434" s="135" t="s">
        <v>1176</v>
      </c>
      <c r="C434" s="135" t="s">
        <v>339</v>
      </c>
      <c r="D434" s="135" t="s">
        <v>1177</v>
      </c>
      <c r="E434" s="135"/>
      <c r="F434" s="135" t="s">
        <v>722</v>
      </c>
      <c r="G434" s="135" t="s">
        <v>1178</v>
      </c>
      <c r="H434" s="131">
        <v>283.89999999999998</v>
      </c>
    </row>
    <row r="435" spans="2:8" x14ac:dyDescent="0.2">
      <c r="B435" s="135" t="s">
        <v>1168</v>
      </c>
      <c r="C435" s="135" t="s">
        <v>339</v>
      </c>
      <c r="D435" s="135" t="s">
        <v>1360</v>
      </c>
      <c r="E435" s="135"/>
      <c r="F435" s="135" t="s">
        <v>722</v>
      </c>
      <c r="G435" s="135" t="s">
        <v>1361</v>
      </c>
      <c r="H435" s="131">
        <v>440.58</v>
      </c>
    </row>
    <row r="436" spans="2:8" x14ac:dyDescent="0.2">
      <c r="B436" s="135" t="s">
        <v>1362</v>
      </c>
      <c r="C436" s="135" t="s">
        <v>339</v>
      </c>
      <c r="D436" s="135" t="s">
        <v>1363</v>
      </c>
      <c r="E436" s="135"/>
      <c r="F436" s="135" t="s">
        <v>722</v>
      </c>
      <c r="G436" s="135" t="s">
        <v>1361</v>
      </c>
      <c r="H436" s="131">
        <v>881.15</v>
      </c>
    </row>
    <row r="437" spans="2:8" x14ac:dyDescent="0.2">
      <c r="B437" s="135" t="s">
        <v>1362</v>
      </c>
      <c r="C437" s="135" t="s">
        <v>339</v>
      </c>
      <c r="D437" s="135" t="s">
        <v>1364</v>
      </c>
      <c r="E437" s="135"/>
      <c r="F437" s="135" t="s">
        <v>722</v>
      </c>
      <c r="G437" s="135" t="s">
        <v>1361</v>
      </c>
      <c r="H437" s="131">
        <v>-440.58</v>
      </c>
    </row>
    <row r="438" spans="2:8" x14ac:dyDescent="0.2">
      <c r="B438" s="135" t="s">
        <v>1312</v>
      </c>
      <c r="C438" s="135" t="s">
        <v>339</v>
      </c>
      <c r="D438" s="135" t="s">
        <v>1365</v>
      </c>
      <c r="E438" s="135"/>
      <c r="F438" s="135" t="s">
        <v>722</v>
      </c>
      <c r="G438" s="135" t="s">
        <v>1366</v>
      </c>
      <c r="H438" s="131">
        <v>852.26</v>
      </c>
    </row>
    <row r="439" spans="2:8" x14ac:dyDescent="0.2">
      <c r="B439" s="135" t="s">
        <v>1542</v>
      </c>
      <c r="C439" s="135" t="s">
        <v>339</v>
      </c>
      <c r="D439" s="135" t="s">
        <v>1543</v>
      </c>
      <c r="E439" s="135"/>
      <c r="F439" s="135" t="s">
        <v>722</v>
      </c>
      <c r="G439" s="135" t="s">
        <v>1544</v>
      </c>
      <c r="H439" s="131">
        <v>866.7</v>
      </c>
    </row>
    <row r="440" spans="2:8" x14ac:dyDescent="0.2">
      <c r="B440" s="135" t="s">
        <v>1545</v>
      </c>
      <c r="C440" s="135" t="s">
        <v>339</v>
      </c>
      <c r="D440" s="135" t="s">
        <v>1546</v>
      </c>
      <c r="E440" s="135"/>
      <c r="F440" s="135" t="s">
        <v>722</v>
      </c>
      <c r="G440" s="135" t="s">
        <v>1547</v>
      </c>
      <c r="H440" s="131">
        <v>141.94999999999999</v>
      </c>
    </row>
    <row r="441" spans="2:8" x14ac:dyDescent="0.2">
      <c r="B441" s="135" t="s">
        <v>1548</v>
      </c>
      <c r="C441" s="135" t="s">
        <v>339</v>
      </c>
      <c r="D441" s="135" t="s">
        <v>1549</v>
      </c>
      <c r="E441" s="135"/>
      <c r="F441" s="135" t="s">
        <v>722</v>
      </c>
      <c r="G441" s="135" t="s">
        <v>1550</v>
      </c>
      <c r="H441" s="131">
        <v>866.7</v>
      </c>
    </row>
    <row r="442" spans="2:8" x14ac:dyDescent="0.2">
      <c r="B442" s="135" t="s">
        <v>1608</v>
      </c>
      <c r="C442" s="135" t="s">
        <v>339</v>
      </c>
      <c r="D442" s="135" t="s">
        <v>1656</v>
      </c>
      <c r="E442" s="135"/>
      <c r="F442" s="135" t="s">
        <v>722</v>
      </c>
      <c r="G442" s="135" t="s">
        <v>1550</v>
      </c>
      <c r="H442" s="131">
        <v>866.7</v>
      </c>
    </row>
    <row r="443" spans="2:8" x14ac:dyDescent="0.2">
      <c r="B443" s="135" t="s">
        <v>1608</v>
      </c>
      <c r="C443" s="135" t="s">
        <v>339</v>
      </c>
      <c r="D443" s="135" t="s">
        <v>1655</v>
      </c>
      <c r="E443" s="135"/>
      <c r="F443" s="135" t="s">
        <v>722</v>
      </c>
      <c r="G443" s="135" t="s">
        <v>1550</v>
      </c>
      <c r="H443" s="131">
        <v>-866.7</v>
      </c>
    </row>
    <row r="444" spans="2:8" x14ac:dyDescent="0.2">
      <c r="B444" s="135" t="s">
        <v>1643</v>
      </c>
      <c r="C444" s="135" t="s">
        <v>339</v>
      </c>
      <c r="D444" s="135" t="s">
        <v>1644</v>
      </c>
      <c r="E444" s="135"/>
      <c r="F444" s="135" t="s">
        <v>722</v>
      </c>
      <c r="G444" s="135" t="s">
        <v>1645</v>
      </c>
      <c r="H444" s="131">
        <v>866.7</v>
      </c>
    </row>
    <row r="445" spans="2:8" x14ac:dyDescent="0.2">
      <c r="B445" s="135" t="s">
        <v>1624</v>
      </c>
      <c r="C445" s="135" t="s">
        <v>339</v>
      </c>
      <c r="D445" s="135" t="s">
        <v>1651</v>
      </c>
      <c r="E445" s="135"/>
      <c r="F445" s="135" t="s">
        <v>722</v>
      </c>
      <c r="G445" s="135" t="s">
        <v>1652</v>
      </c>
      <c r="H445" s="131">
        <v>866.7</v>
      </c>
    </row>
    <row r="446" spans="2:8" x14ac:dyDescent="0.2">
      <c r="B446" s="135" t="s">
        <v>1789</v>
      </c>
      <c r="C446" s="135" t="s">
        <v>339</v>
      </c>
      <c r="D446" s="135" t="s">
        <v>1853</v>
      </c>
      <c r="E446" s="135"/>
      <c r="F446" s="135" t="s">
        <v>722</v>
      </c>
      <c r="G446" s="135" t="s">
        <v>1652</v>
      </c>
      <c r="H446" s="131">
        <v>-866.7</v>
      </c>
    </row>
    <row r="447" spans="2:8" x14ac:dyDescent="0.2">
      <c r="B447" s="135" t="s">
        <v>1789</v>
      </c>
      <c r="C447" s="135" t="s">
        <v>339</v>
      </c>
      <c r="D447" s="135" t="s">
        <v>1852</v>
      </c>
      <c r="E447" s="135"/>
      <c r="F447" s="135" t="s">
        <v>722</v>
      </c>
      <c r="G447" s="135" t="s">
        <v>1652</v>
      </c>
      <c r="H447" s="131">
        <v>866.7</v>
      </c>
    </row>
    <row r="448" spans="2:8" x14ac:dyDescent="0.2">
      <c r="B448" s="135" t="s">
        <v>1854</v>
      </c>
      <c r="C448" s="135" t="s">
        <v>339</v>
      </c>
      <c r="D448" s="135" t="s">
        <v>1855</v>
      </c>
      <c r="E448" s="135"/>
      <c r="F448" s="135" t="s">
        <v>722</v>
      </c>
      <c r="G448" s="135" t="s">
        <v>1856</v>
      </c>
      <c r="H448" s="131">
        <v>866.7</v>
      </c>
    </row>
    <row r="449" spans="1:8" x14ac:dyDescent="0.2">
      <c r="B449" s="135" t="s">
        <v>1830</v>
      </c>
      <c r="C449" s="135" t="s">
        <v>339</v>
      </c>
      <c r="D449" s="135" t="s">
        <v>1847</v>
      </c>
      <c r="E449" s="135"/>
      <c r="F449" s="135" t="s">
        <v>722</v>
      </c>
      <c r="G449" s="135"/>
      <c r="H449" s="131">
        <v>895.59</v>
      </c>
    </row>
    <row r="450" spans="1:8" x14ac:dyDescent="0.2">
      <c r="B450" s="135" t="s">
        <v>2097</v>
      </c>
      <c r="C450" s="135" t="s">
        <v>339</v>
      </c>
      <c r="D450" s="135" t="s">
        <v>2099</v>
      </c>
      <c r="E450" s="135"/>
      <c r="F450" s="135" t="s">
        <v>722</v>
      </c>
      <c r="G450" s="135" t="s">
        <v>2100</v>
      </c>
      <c r="H450" s="131">
        <v>895.59</v>
      </c>
    </row>
    <row r="451" spans="1:8" x14ac:dyDescent="0.2">
      <c r="B451" s="135" t="s">
        <v>2097</v>
      </c>
      <c r="C451" s="135" t="s">
        <v>339</v>
      </c>
      <c r="D451" s="135" t="s">
        <v>2098</v>
      </c>
      <c r="E451" s="135"/>
      <c r="F451" s="135" t="s">
        <v>722</v>
      </c>
      <c r="G451" s="135"/>
      <c r="H451" s="131">
        <v>-895.59</v>
      </c>
    </row>
    <row r="452" spans="1:8" x14ac:dyDescent="0.2">
      <c r="B452" s="135" t="s">
        <v>2101</v>
      </c>
      <c r="C452" s="135" t="s">
        <v>339</v>
      </c>
      <c r="D452" s="135" t="s">
        <v>2102</v>
      </c>
      <c r="E452" s="135"/>
      <c r="F452" s="135" t="s">
        <v>722</v>
      </c>
      <c r="G452" s="135" t="s">
        <v>2103</v>
      </c>
      <c r="H452" s="131">
        <v>1386.72</v>
      </c>
    </row>
    <row r="453" spans="1:8" x14ac:dyDescent="0.2">
      <c r="B453" s="135" t="s">
        <v>2254</v>
      </c>
      <c r="C453" s="135" t="s">
        <v>339</v>
      </c>
      <c r="D453" s="135" t="s">
        <v>2255</v>
      </c>
      <c r="E453" s="135"/>
      <c r="F453" s="135" t="s">
        <v>722</v>
      </c>
      <c r="G453" s="135" t="s">
        <v>2256</v>
      </c>
      <c r="H453" s="131">
        <v>205.83</v>
      </c>
    </row>
    <row r="454" spans="1:8" ht="25" x14ac:dyDescent="0.2">
      <c r="B454" s="135" t="s">
        <v>2240</v>
      </c>
      <c r="C454" s="135" t="s">
        <v>339</v>
      </c>
      <c r="D454" s="135" t="s">
        <v>2365</v>
      </c>
      <c r="E454" s="135"/>
      <c r="F454" s="135" t="s">
        <v>722</v>
      </c>
      <c r="G454" s="135" t="s">
        <v>2366</v>
      </c>
      <c r="H454" s="131">
        <v>73.819999999999993</v>
      </c>
    </row>
    <row r="455" spans="1:8" ht="25" x14ac:dyDescent="0.2">
      <c r="B455" s="135" t="s">
        <v>2340</v>
      </c>
      <c r="C455" s="135" t="s">
        <v>339</v>
      </c>
      <c r="D455" s="135" t="s">
        <v>2369</v>
      </c>
      <c r="E455" s="135"/>
      <c r="F455" s="135" t="s">
        <v>722</v>
      </c>
      <c r="G455" s="135" t="s">
        <v>2366</v>
      </c>
      <c r="H455" s="131">
        <v>-73.819999999999993</v>
      </c>
    </row>
    <row r="456" spans="1:8" x14ac:dyDescent="0.2">
      <c r="A456" s="129" t="s">
        <v>606</v>
      </c>
      <c r="H456" s="132">
        <v>11527.04</v>
      </c>
    </row>
    <row r="457" spans="1:8" x14ac:dyDescent="0.2">
      <c r="A457" s="129" t="s">
        <v>643</v>
      </c>
    </row>
    <row r="458" spans="1:8" x14ac:dyDescent="0.2">
      <c r="B458" s="135" t="s">
        <v>832</v>
      </c>
      <c r="C458" s="135" t="s">
        <v>339</v>
      </c>
      <c r="D458" s="135" t="s">
        <v>835</v>
      </c>
      <c r="E458" s="135"/>
      <c r="F458" s="135" t="s">
        <v>722</v>
      </c>
      <c r="G458" s="135" t="s">
        <v>809</v>
      </c>
      <c r="H458" s="131">
        <v>-941.25</v>
      </c>
    </row>
    <row r="459" spans="1:8" x14ac:dyDescent="0.2">
      <c r="B459" s="135" t="s">
        <v>832</v>
      </c>
      <c r="C459" s="135" t="s">
        <v>339</v>
      </c>
      <c r="D459" s="135" t="s">
        <v>833</v>
      </c>
      <c r="E459" s="135"/>
      <c r="F459" s="135" t="s">
        <v>722</v>
      </c>
      <c r="G459" s="135" t="s">
        <v>809</v>
      </c>
      <c r="H459" s="131">
        <v>791.7</v>
      </c>
    </row>
    <row r="460" spans="1:8" x14ac:dyDescent="0.2">
      <c r="B460" s="135" t="s">
        <v>826</v>
      </c>
      <c r="C460" s="135" t="s">
        <v>339</v>
      </c>
      <c r="D460" s="135" t="s">
        <v>827</v>
      </c>
      <c r="E460" s="135"/>
      <c r="F460" s="135" t="s">
        <v>722</v>
      </c>
      <c r="G460" s="135" t="s">
        <v>828</v>
      </c>
      <c r="H460" s="131">
        <v>819</v>
      </c>
    </row>
    <row r="461" spans="1:8" x14ac:dyDescent="0.2">
      <c r="B461" s="135" t="s">
        <v>829</v>
      </c>
      <c r="C461" s="135" t="s">
        <v>339</v>
      </c>
      <c r="D461" s="135" t="s">
        <v>830</v>
      </c>
      <c r="E461" s="135"/>
      <c r="F461" s="135" t="s">
        <v>722</v>
      </c>
      <c r="G461" s="135" t="s">
        <v>831</v>
      </c>
      <c r="H461" s="131">
        <v>873.6</v>
      </c>
    </row>
    <row r="462" spans="1:8" x14ac:dyDescent="0.2">
      <c r="B462" s="135" t="s">
        <v>1015</v>
      </c>
      <c r="C462" s="135" t="s">
        <v>339</v>
      </c>
      <c r="D462" s="135" t="s">
        <v>1016</v>
      </c>
      <c r="E462" s="135"/>
      <c r="F462" s="135" t="s">
        <v>722</v>
      </c>
      <c r="G462" s="135" t="s">
        <v>1017</v>
      </c>
      <c r="H462" s="131">
        <v>56.78</v>
      </c>
    </row>
    <row r="463" spans="1:8" x14ac:dyDescent="0.2">
      <c r="B463" s="135" t="s">
        <v>972</v>
      </c>
      <c r="C463" s="135" t="s">
        <v>339</v>
      </c>
      <c r="D463" s="135" t="s">
        <v>1018</v>
      </c>
      <c r="E463" s="135"/>
      <c r="F463" s="135" t="s">
        <v>722</v>
      </c>
      <c r="G463" s="135" t="s">
        <v>1019</v>
      </c>
      <c r="H463" s="131">
        <v>326.49</v>
      </c>
    </row>
    <row r="464" spans="1:8" x14ac:dyDescent="0.2">
      <c r="B464" s="135" t="s">
        <v>1173</v>
      </c>
      <c r="C464" s="135" t="s">
        <v>339</v>
      </c>
      <c r="D464" s="135" t="s">
        <v>1174</v>
      </c>
      <c r="E464" s="135"/>
      <c r="F464" s="135" t="s">
        <v>722</v>
      </c>
      <c r="G464" s="135" t="s">
        <v>1175</v>
      </c>
      <c r="H464" s="131">
        <v>837.81</v>
      </c>
    </row>
    <row r="465" spans="2:8" x14ac:dyDescent="0.2">
      <c r="B465" s="135" t="s">
        <v>1176</v>
      </c>
      <c r="C465" s="135" t="s">
        <v>339</v>
      </c>
      <c r="D465" s="135" t="s">
        <v>1177</v>
      </c>
      <c r="E465" s="135"/>
      <c r="F465" s="135" t="s">
        <v>722</v>
      </c>
      <c r="G465" s="135" t="s">
        <v>1178</v>
      </c>
      <c r="H465" s="131">
        <v>837.81</v>
      </c>
    </row>
    <row r="466" spans="2:8" x14ac:dyDescent="0.2">
      <c r="B466" s="135" t="s">
        <v>1168</v>
      </c>
      <c r="C466" s="135" t="s">
        <v>339</v>
      </c>
      <c r="D466" s="135" t="s">
        <v>1360</v>
      </c>
      <c r="E466" s="135"/>
      <c r="F466" s="135" t="s">
        <v>722</v>
      </c>
      <c r="G466" s="135" t="s">
        <v>1361</v>
      </c>
      <c r="H466" s="131">
        <v>85.17</v>
      </c>
    </row>
    <row r="467" spans="2:8" x14ac:dyDescent="0.2">
      <c r="B467" s="135" t="s">
        <v>1362</v>
      </c>
      <c r="C467" s="135" t="s">
        <v>339</v>
      </c>
      <c r="D467" s="135" t="s">
        <v>1364</v>
      </c>
      <c r="E467" s="135"/>
      <c r="F467" s="135" t="s">
        <v>722</v>
      </c>
      <c r="G467" s="135" t="s">
        <v>1361</v>
      </c>
      <c r="H467" s="131">
        <v>-85.17</v>
      </c>
    </row>
    <row r="468" spans="2:8" x14ac:dyDescent="0.2">
      <c r="B468" s="135" t="s">
        <v>1362</v>
      </c>
      <c r="C468" s="135" t="s">
        <v>339</v>
      </c>
      <c r="D468" s="135" t="s">
        <v>1363</v>
      </c>
      <c r="E468" s="135"/>
      <c r="F468" s="135" t="s">
        <v>722</v>
      </c>
      <c r="G468" s="135" t="s">
        <v>1361</v>
      </c>
      <c r="H468" s="131">
        <v>170.34</v>
      </c>
    </row>
    <row r="469" spans="2:8" x14ac:dyDescent="0.2">
      <c r="B469" s="135" t="s">
        <v>1312</v>
      </c>
      <c r="C469" s="135" t="s">
        <v>339</v>
      </c>
      <c r="D469" s="135" t="s">
        <v>1365</v>
      </c>
      <c r="E469" s="135"/>
      <c r="F469" s="135" t="s">
        <v>722</v>
      </c>
      <c r="G469" s="135" t="s">
        <v>1366</v>
      </c>
      <c r="H469" s="131">
        <v>113.56</v>
      </c>
    </row>
    <row r="470" spans="2:8" x14ac:dyDescent="0.2">
      <c r="B470" s="135" t="s">
        <v>1542</v>
      </c>
      <c r="C470" s="135" t="s">
        <v>339</v>
      </c>
      <c r="D470" s="135" t="s">
        <v>1543</v>
      </c>
      <c r="E470" s="135"/>
      <c r="F470" s="135" t="s">
        <v>722</v>
      </c>
      <c r="G470" s="135" t="s">
        <v>1544</v>
      </c>
      <c r="H470" s="131">
        <v>170.34</v>
      </c>
    </row>
    <row r="471" spans="2:8" x14ac:dyDescent="0.2">
      <c r="B471" s="135" t="s">
        <v>1545</v>
      </c>
      <c r="C471" s="135" t="s">
        <v>339</v>
      </c>
      <c r="D471" s="135" t="s">
        <v>1546</v>
      </c>
      <c r="E471" s="135"/>
      <c r="F471" s="135" t="s">
        <v>722</v>
      </c>
      <c r="G471" s="135" t="s">
        <v>1547</v>
      </c>
      <c r="H471" s="131">
        <v>866.7</v>
      </c>
    </row>
    <row r="472" spans="2:8" x14ac:dyDescent="0.2">
      <c r="B472" s="135" t="s">
        <v>1548</v>
      </c>
      <c r="C472" s="135" t="s">
        <v>339</v>
      </c>
      <c r="D472" s="135" t="s">
        <v>1549</v>
      </c>
      <c r="E472" s="135"/>
      <c r="F472" s="135" t="s">
        <v>722</v>
      </c>
      <c r="G472" s="135" t="s">
        <v>1550</v>
      </c>
      <c r="H472" s="131">
        <v>156.15</v>
      </c>
    </row>
    <row r="473" spans="2:8" x14ac:dyDescent="0.2">
      <c r="B473" s="135" t="s">
        <v>1608</v>
      </c>
      <c r="C473" s="135" t="s">
        <v>339</v>
      </c>
      <c r="D473" s="135" t="s">
        <v>1656</v>
      </c>
      <c r="E473" s="135"/>
      <c r="F473" s="135" t="s">
        <v>722</v>
      </c>
      <c r="G473" s="135" t="s">
        <v>1550</v>
      </c>
      <c r="H473" s="131">
        <v>156.15</v>
      </c>
    </row>
    <row r="474" spans="2:8" x14ac:dyDescent="0.2">
      <c r="B474" s="135" t="s">
        <v>1608</v>
      </c>
      <c r="C474" s="135" t="s">
        <v>339</v>
      </c>
      <c r="D474" s="135" t="s">
        <v>1655</v>
      </c>
      <c r="E474" s="135"/>
      <c r="F474" s="135" t="s">
        <v>722</v>
      </c>
      <c r="G474" s="135" t="s">
        <v>1550</v>
      </c>
      <c r="H474" s="131">
        <v>-156.15</v>
      </c>
    </row>
    <row r="475" spans="2:8" x14ac:dyDescent="0.2">
      <c r="B475" s="135" t="s">
        <v>1643</v>
      </c>
      <c r="C475" s="135" t="s">
        <v>339</v>
      </c>
      <c r="D475" s="135" t="s">
        <v>1644</v>
      </c>
      <c r="E475" s="135"/>
      <c r="F475" s="135" t="s">
        <v>722</v>
      </c>
      <c r="G475" s="135" t="s">
        <v>1645</v>
      </c>
      <c r="H475" s="131">
        <v>163.24</v>
      </c>
    </row>
    <row r="476" spans="2:8" x14ac:dyDescent="0.2">
      <c r="B476" s="135" t="s">
        <v>1624</v>
      </c>
      <c r="C476" s="135" t="s">
        <v>339</v>
      </c>
      <c r="D476" s="135" t="s">
        <v>1651</v>
      </c>
      <c r="E476" s="135"/>
      <c r="F476" s="135" t="s">
        <v>722</v>
      </c>
      <c r="G476" s="135" t="s">
        <v>1652</v>
      </c>
      <c r="H476" s="131">
        <v>241.32</v>
      </c>
    </row>
    <row r="477" spans="2:8" x14ac:dyDescent="0.2">
      <c r="B477" s="135" t="s">
        <v>1789</v>
      </c>
      <c r="C477" s="135" t="s">
        <v>339</v>
      </c>
      <c r="D477" s="135" t="s">
        <v>1853</v>
      </c>
      <c r="E477" s="135"/>
      <c r="F477" s="135" t="s">
        <v>722</v>
      </c>
      <c r="G477" s="135" t="s">
        <v>1652</v>
      </c>
      <c r="H477" s="131">
        <v>-241.32</v>
      </c>
    </row>
    <row r="478" spans="2:8" x14ac:dyDescent="0.2">
      <c r="B478" s="135" t="s">
        <v>1789</v>
      </c>
      <c r="C478" s="135" t="s">
        <v>339</v>
      </c>
      <c r="D478" s="135" t="s">
        <v>1852</v>
      </c>
      <c r="E478" s="135"/>
      <c r="F478" s="135" t="s">
        <v>722</v>
      </c>
      <c r="G478" s="135" t="s">
        <v>1652</v>
      </c>
      <c r="H478" s="131">
        <v>241.32</v>
      </c>
    </row>
    <row r="479" spans="2:8" x14ac:dyDescent="0.2">
      <c r="B479" s="135" t="s">
        <v>1854</v>
      </c>
      <c r="C479" s="135" t="s">
        <v>339</v>
      </c>
      <c r="D479" s="135" t="s">
        <v>1855</v>
      </c>
      <c r="E479" s="135"/>
      <c r="F479" s="135" t="s">
        <v>722</v>
      </c>
      <c r="G479" s="135" t="s">
        <v>1856</v>
      </c>
      <c r="H479" s="131">
        <v>369.07</v>
      </c>
    </row>
    <row r="480" spans="2:8" x14ac:dyDescent="0.2">
      <c r="B480" s="135" t="s">
        <v>1830</v>
      </c>
      <c r="C480" s="135" t="s">
        <v>339</v>
      </c>
      <c r="D480" s="135" t="s">
        <v>1847</v>
      </c>
      <c r="E480" s="135"/>
      <c r="F480" s="135" t="s">
        <v>722</v>
      </c>
      <c r="G480" s="135"/>
      <c r="H480" s="131">
        <v>240.32</v>
      </c>
    </row>
    <row r="481" spans="2:8" x14ac:dyDescent="0.2">
      <c r="B481" s="135" t="s">
        <v>2097</v>
      </c>
      <c r="C481" s="135" t="s">
        <v>339</v>
      </c>
      <c r="D481" s="135" t="s">
        <v>2098</v>
      </c>
      <c r="E481" s="135"/>
      <c r="F481" s="135" t="s">
        <v>722</v>
      </c>
      <c r="G481" s="135"/>
      <c r="H481" s="131">
        <v>-240.32</v>
      </c>
    </row>
    <row r="482" spans="2:8" x14ac:dyDescent="0.2">
      <c r="B482" s="135" t="s">
        <v>2097</v>
      </c>
      <c r="C482" s="135" t="s">
        <v>339</v>
      </c>
      <c r="D482" s="135" t="s">
        <v>2099</v>
      </c>
      <c r="E482" s="135"/>
      <c r="F482" s="135" t="s">
        <v>722</v>
      </c>
      <c r="G482" s="135" t="s">
        <v>2100</v>
      </c>
      <c r="H482" s="131">
        <v>241.32</v>
      </c>
    </row>
    <row r="483" spans="2:8" x14ac:dyDescent="0.2">
      <c r="B483" s="135" t="s">
        <v>2101</v>
      </c>
      <c r="C483" s="135" t="s">
        <v>339</v>
      </c>
      <c r="D483" s="135" t="s">
        <v>2102</v>
      </c>
      <c r="E483" s="135"/>
      <c r="F483" s="135" t="s">
        <v>722</v>
      </c>
      <c r="G483" s="135" t="s">
        <v>2103</v>
      </c>
      <c r="H483" s="131">
        <v>227.12</v>
      </c>
    </row>
    <row r="484" spans="2:8" x14ac:dyDescent="0.2">
      <c r="B484" s="135" t="s">
        <v>2104</v>
      </c>
      <c r="C484" s="135" t="s">
        <v>339</v>
      </c>
      <c r="D484" s="135" t="s">
        <v>2105</v>
      </c>
      <c r="E484" s="135"/>
      <c r="F484" s="135" t="s">
        <v>722</v>
      </c>
      <c r="G484" s="135" t="s">
        <v>2106</v>
      </c>
      <c r="H484" s="131">
        <v>149.05000000000001</v>
      </c>
    </row>
    <row r="485" spans="2:8" x14ac:dyDescent="0.2">
      <c r="B485" s="135" t="s">
        <v>2251</v>
      </c>
      <c r="C485" s="135" t="s">
        <v>339</v>
      </c>
      <c r="D485" s="135" t="s">
        <v>2252</v>
      </c>
      <c r="E485" s="135"/>
      <c r="F485" s="135" t="s">
        <v>722</v>
      </c>
      <c r="G485" s="135" t="s">
        <v>2253</v>
      </c>
      <c r="H485" s="131">
        <v>99.37</v>
      </c>
    </row>
    <row r="486" spans="2:8" x14ac:dyDescent="0.2">
      <c r="B486" s="135" t="s">
        <v>2340</v>
      </c>
      <c r="C486" s="135" t="s">
        <v>339</v>
      </c>
      <c r="D486" s="135" t="s">
        <v>2367</v>
      </c>
      <c r="E486" s="135"/>
      <c r="F486" s="135" t="s">
        <v>722</v>
      </c>
      <c r="G486" s="135" t="s">
        <v>2368</v>
      </c>
      <c r="H486" s="131">
        <v>184.54</v>
      </c>
    </row>
    <row r="487" spans="2:8" x14ac:dyDescent="0.2">
      <c r="B487" s="135" t="s">
        <v>2361</v>
      </c>
      <c r="C487" s="135" t="s">
        <v>339</v>
      </c>
      <c r="D487" s="135" t="s">
        <v>2362</v>
      </c>
      <c r="E487" s="135"/>
      <c r="F487" s="135" t="s">
        <v>722</v>
      </c>
      <c r="G487" s="135" t="s">
        <v>2363</v>
      </c>
      <c r="H487" s="131">
        <v>227.12</v>
      </c>
    </row>
    <row r="488" spans="2:8" x14ac:dyDescent="0.2">
      <c r="B488" s="135" t="s">
        <v>2370</v>
      </c>
      <c r="C488" s="135" t="s">
        <v>339</v>
      </c>
      <c r="D488" s="135" t="s">
        <v>2371</v>
      </c>
      <c r="E488" s="135"/>
      <c r="F488" s="135" t="s">
        <v>722</v>
      </c>
      <c r="G488" s="135" t="s">
        <v>2372</v>
      </c>
      <c r="H488" s="131">
        <v>281.06</v>
      </c>
    </row>
    <row r="489" spans="2:8" x14ac:dyDescent="0.2">
      <c r="B489" s="135" t="s">
        <v>2553</v>
      </c>
      <c r="C489" s="135" t="s">
        <v>339</v>
      </c>
      <c r="D489" s="135" t="s">
        <v>2568</v>
      </c>
      <c r="E489" s="135"/>
      <c r="F489" s="135" t="s">
        <v>722</v>
      </c>
      <c r="G489" s="135" t="s">
        <v>2372</v>
      </c>
      <c r="H489" s="131">
        <v>-281.06</v>
      </c>
    </row>
    <row r="490" spans="2:8" x14ac:dyDescent="0.2">
      <c r="B490" s="135" t="s">
        <v>2553</v>
      </c>
      <c r="C490" s="135" t="s">
        <v>339</v>
      </c>
      <c r="D490" s="135" t="s">
        <v>2566</v>
      </c>
      <c r="E490" s="135"/>
      <c r="F490" s="135" t="s">
        <v>722</v>
      </c>
      <c r="G490" s="135" t="s">
        <v>2567</v>
      </c>
      <c r="H490" s="131">
        <v>312.29000000000002</v>
      </c>
    </row>
    <row r="491" spans="2:8" x14ac:dyDescent="0.2">
      <c r="B491" s="135" t="s">
        <v>2569</v>
      </c>
      <c r="C491" s="135" t="s">
        <v>339</v>
      </c>
      <c r="D491" s="135" t="s">
        <v>2570</v>
      </c>
      <c r="E491" s="135"/>
      <c r="F491" s="135" t="s">
        <v>722</v>
      </c>
      <c r="G491" s="135" t="s">
        <v>2571</v>
      </c>
      <c r="H491" s="131">
        <v>97.95</v>
      </c>
    </row>
    <row r="492" spans="2:8" x14ac:dyDescent="0.2">
      <c r="B492" s="135" t="s">
        <v>2548</v>
      </c>
      <c r="C492" s="135" t="s">
        <v>339</v>
      </c>
      <c r="D492" s="135" t="s">
        <v>2572</v>
      </c>
      <c r="E492" s="135"/>
      <c r="F492" s="135" t="s">
        <v>722</v>
      </c>
      <c r="G492" s="135" t="s">
        <v>2573</v>
      </c>
      <c r="H492" s="131">
        <v>172.47</v>
      </c>
    </row>
    <row r="493" spans="2:8" x14ac:dyDescent="0.2">
      <c r="B493" s="135" t="s">
        <v>2737</v>
      </c>
      <c r="C493" s="135" t="s">
        <v>339</v>
      </c>
      <c r="D493" s="135" t="s">
        <v>2753</v>
      </c>
      <c r="E493" s="135"/>
      <c r="F493" s="135" t="s">
        <v>722</v>
      </c>
      <c r="G493" s="135" t="s">
        <v>2754</v>
      </c>
      <c r="H493" s="131">
        <v>191.63</v>
      </c>
    </row>
    <row r="494" spans="2:8" x14ac:dyDescent="0.2">
      <c r="B494" s="135" t="s">
        <v>2755</v>
      </c>
      <c r="C494" s="135" t="s">
        <v>339</v>
      </c>
      <c r="D494" s="135" t="s">
        <v>2756</v>
      </c>
      <c r="E494" s="135"/>
      <c r="F494" s="135" t="s">
        <v>722</v>
      </c>
      <c r="G494" s="135" t="s">
        <v>2573</v>
      </c>
      <c r="H494" s="131">
        <v>-172.47</v>
      </c>
    </row>
    <row r="495" spans="2:8" x14ac:dyDescent="0.2">
      <c r="B495" s="135" t="s">
        <v>2757</v>
      </c>
      <c r="C495" s="135" t="s">
        <v>339</v>
      </c>
      <c r="D495" s="135" t="s">
        <v>2758</v>
      </c>
      <c r="E495" s="135"/>
      <c r="F495" s="135" t="s">
        <v>722</v>
      </c>
      <c r="G495" s="135" t="s">
        <v>2759</v>
      </c>
      <c r="H495" s="131">
        <v>149.05000000000001</v>
      </c>
    </row>
    <row r="496" spans="2:8" x14ac:dyDescent="0.2">
      <c r="B496" s="135" t="s">
        <v>2741</v>
      </c>
      <c r="C496" s="135" t="s">
        <v>339</v>
      </c>
      <c r="D496" s="135" t="s">
        <v>2760</v>
      </c>
      <c r="E496" s="135"/>
      <c r="F496" s="135" t="s">
        <v>722</v>
      </c>
      <c r="G496" s="135" t="s">
        <v>2761</v>
      </c>
      <c r="H496" s="131">
        <v>340.68</v>
      </c>
    </row>
    <row r="497" spans="1:8" x14ac:dyDescent="0.2">
      <c r="A497" s="129" t="s">
        <v>644</v>
      </c>
      <c r="H497" s="132">
        <v>8072.78</v>
      </c>
    </row>
    <row r="498" spans="1:8" x14ac:dyDescent="0.2">
      <c r="A498" s="129" t="s">
        <v>1429</v>
      </c>
    </row>
    <row r="499" spans="1:8" x14ac:dyDescent="0.2">
      <c r="B499" s="135" t="s">
        <v>1312</v>
      </c>
      <c r="C499" s="135" t="s">
        <v>339</v>
      </c>
      <c r="D499" s="135" t="s">
        <v>1365</v>
      </c>
      <c r="E499" s="135"/>
      <c r="F499" s="135" t="s">
        <v>722</v>
      </c>
      <c r="G499" s="135" t="s">
        <v>1366</v>
      </c>
      <c r="H499" s="131">
        <v>176.33</v>
      </c>
    </row>
    <row r="500" spans="1:8" x14ac:dyDescent="0.2">
      <c r="B500" s="135" t="s">
        <v>1542</v>
      </c>
      <c r="C500" s="135" t="s">
        <v>339</v>
      </c>
      <c r="D500" s="135" t="s">
        <v>1543</v>
      </c>
      <c r="E500" s="135"/>
      <c r="F500" s="135" t="s">
        <v>722</v>
      </c>
      <c r="G500" s="135" t="s">
        <v>1544</v>
      </c>
      <c r="H500" s="131">
        <v>154.69</v>
      </c>
    </row>
    <row r="501" spans="1:8" x14ac:dyDescent="0.2">
      <c r="B501" s="135" t="s">
        <v>1548</v>
      </c>
      <c r="C501" s="135" t="s">
        <v>339</v>
      </c>
      <c r="D501" s="135" t="s">
        <v>1549</v>
      </c>
      <c r="E501" s="135"/>
      <c r="F501" s="135" t="s">
        <v>722</v>
      </c>
      <c r="G501" s="135" t="s">
        <v>1550</v>
      </c>
      <c r="H501" s="131">
        <v>198.91</v>
      </c>
    </row>
    <row r="502" spans="1:8" x14ac:dyDescent="0.2">
      <c r="B502" s="135" t="s">
        <v>1608</v>
      </c>
      <c r="C502" s="135" t="s">
        <v>339</v>
      </c>
      <c r="D502" s="135" t="s">
        <v>1655</v>
      </c>
      <c r="E502" s="135"/>
      <c r="F502" s="135" t="s">
        <v>722</v>
      </c>
      <c r="G502" s="135" t="s">
        <v>1550</v>
      </c>
      <c r="H502" s="131">
        <v>-198.91</v>
      </c>
    </row>
    <row r="503" spans="1:8" x14ac:dyDescent="0.2">
      <c r="B503" s="135" t="s">
        <v>1608</v>
      </c>
      <c r="C503" s="135" t="s">
        <v>339</v>
      </c>
      <c r="D503" s="135" t="s">
        <v>1656</v>
      </c>
      <c r="E503" s="135"/>
      <c r="F503" s="135" t="s">
        <v>722</v>
      </c>
      <c r="G503" s="135" t="s">
        <v>1550</v>
      </c>
      <c r="H503" s="131">
        <v>152.94</v>
      </c>
    </row>
    <row r="504" spans="1:8" x14ac:dyDescent="0.2">
      <c r="A504" s="129" t="s">
        <v>1430</v>
      </c>
      <c r="H504" s="132">
        <v>483.96</v>
      </c>
    </row>
    <row r="505" spans="1:8" x14ac:dyDescent="0.2">
      <c r="A505" s="129" t="s">
        <v>696</v>
      </c>
    </row>
    <row r="506" spans="1:8" x14ac:dyDescent="0.2">
      <c r="B506" s="135" t="s">
        <v>832</v>
      </c>
      <c r="C506" s="135" t="s">
        <v>339</v>
      </c>
      <c r="D506" s="135" t="s">
        <v>835</v>
      </c>
      <c r="E506" s="135"/>
      <c r="F506" s="135" t="s">
        <v>722</v>
      </c>
      <c r="G506" s="135" t="s">
        <v>809</v>
      </c>
      <c r="H506" s="131">
        <v>-30.78</v>
      </c>
    </row>
    <row r="507" spans="1:8" x14ac:dyDescent="0.2">
      <c r="B507" s="135" t="s">
        <v>1015</v>
      </c>
      <c r="C507" s="135" t="s">
        <v>339</v>
      </c>
      <c r="D507" s="135" t="s">
        <v>1016</v>
      </c>
      <c r="E507" s="135"/>
      <c r="F507" s="135" t="s">
        <v>722</v>
      </c>
      <c r="G507" s="135" t="s">
        <v>1017</v>
      </c>
      <c r="H507" s="131">
        <v>69.540000000000006</v>
      </c>
    </row>
    <row r="508" spans="1:8" x14ac:dyDescent="0.2">
      <c r="B508" s="135" t="s">
        <v>972</v>
      </c>
      <c r="C508" s="135" t="s">
        <v>339</v>
      </c>
      <c r="D508" s="135" t="s">
        <v>1018</v>
      </c>
      <c r="E508" s="135"/>
      <c r="F508" s="135" t="s">
        <v>722</v>
      </c>
      <c r="G508" s="135" t="s">
        <v>1019</v>
      </c>
      <c r="H508" s="131">
        <v>91.27</v>
      </c>
    </row>
    <row r="509" spans="1:8" x14ac:dyDescent="0.2">
      <c r="B509" s="135" t="s">
        <v>1362</v>
      </c>
      <c r="C509" s="135" t="s">
        <v>339</v>
      </c>
      <c r="D509" s="135" t="s">
        <v>1363</v>
      </c>
      <c r="E509" s="135"/>
      <c r="F509" s="135" t="s">
        <v>722</v>
      </c>
      <c r="G509" s="135" t="s">
        <v>1361</v>
      </c>
      <c r="H509" s="131">
        <v>224.53</v>
      </c>
    </row>
    <row r="510" spans="1:8" x14ac:dyDescent="0.2">
      <c r="B510" s="135" t="s">
        <v>1643</v>
      </c>
      <c r="C510" s="135" t="s">
        <v>339</v>
      </c>
      <c r="D510" s="135" t="s">
        <v>1644</v>
      </c>
      <c r="E510" s="135"/>
      <c r="F510" s="135" t="s">
        <v>722</v>
      </c>
      <c r="G510" s="135" t="s">
        <v>1645</v>
      </c>
      <c r="H510" s="131">
        <v>78.78</v>
      </c>
    </row>
    <row r="511" spans="1:8" x14ac:dyDescent="0.2">
      <c r="B511" s="135" t="s">
        <v>1624</v>
      </c>
      <c r="C511" s="135" t="s">
        <v>339</v>
      </c>
      <c r="D511" s="135" t="s">
        <v>1651</v>
      </c>
      <c r="E511" s="135"/>
      <c r="F511" s="135" t="s">
        <v>722</v>
      </c>
      <c r="G511" s="135" t="s">
        <v>1652</v>
      </c>
      <c r="H511" s="131">
        <v>163.38</v>
      </c>
    </row>
    <row r="512" spans="1:8" x14ac:dyDescent="0.2">
      <c r="B512" s="135" t="s">
        <v>1789</v>
      </c>
      <c r="C512" s="135" t="s">
        <v>339</v>
      </c>
      <c r="D512" s="135" t="s">
        <v>1853</v>
      </c>
      <c r="E512" s="135"/>
      <c r="F512" s="135" t="s">
        <v>722</v>
      </c>
      <c r="G512" s="135" t="s">
        <v>1652</v>
      </c>
      <c r="H512" s="131">
        <v>-163.38</v>
      </c>
    </row>
    <row r="513" spans="2:8" x14ac:dyDescent="0.2">
      <c r="B513" s="135" t="s">
        <v>1789</v>
      </c>
      <c r="C513" s="135" t="s">
        <v>339</v>
      </c>
      <c r="D513" s="135" t="s">
        <v>1852</v>
      </c>
      <c r="E513" s="135"/>
      <c r="F513" s="135" t="s">
        <v>722</v>
      </c>
      <c r="G513" s="135" t="s">
        <v>1652</v>
      </c>
      <c r="H513" s="131">
        <v>163.38</v>
      </c>
    </row>
    <row r="514" spans="2:8" x14ac:dyDescent="0.2">
      <c r="B514" s="135" t="s">
        <v>1854</v>
      </c>
      <c r="C514" s="135" t="s">
        <v>339</v>
      </c>
      <c r="D514" s="135" t="s">
        <v>1855</v>
      </c>
      <c r="E514" s="135"/>
      <c r="F514" s="135" t="s">
        <v>722</v>
      </c>
      <c r="G514" s="135" t="s">
        <v>1856</v>
      </c>
      <c r="H514" s="131">
        <v>164.65</v>
      </c>
    </row>
    <row r="515" spans="2:8" x14ac:dyDescent="0.2">
      <c r="B515" s="135" t="s">
        <v>1830</v>
      </c>
      <c r="C515" s="135" t="s">
        <v>339</v>
      </c>
      <c r="D515" s="135" t="s">
        <v>1847</v>
      </c>
      <c r="E515" s="135"/>
      <c r="F515" s="135" t="s">
        <v>722</v>
      </c>
      <c r="G515" s="135"/>
      <c r="H515" s="131">
        <v>125.72</v>
      </c>
    </row>
    <row r="516" spans="2:8" x14ac:dyDescent="0.2">
      <c r="B516" s="135" t="s">
        <v>2097</v>
      </c>
      <c r="C516" s="135" t="s">
        <v>339</v>
      </c>
      <c r="D516" s="135" t="s">
        <v>2098</v>
      </c>
      <c r="E516" s="135"/>
      <c r="F516" s="135" t="s">
        <v>722</v>
      </c>
      <c r="G516" s="135"/>
      <c r="H516" s="131">
        <v>-125.72</v>
      </c>
    </row>
    <row r="517" spans="2:8" x14ac:dyDescent="0.2">
      <c r="B517" s="135" t="s">
        <v>2097</v>
      </c>
      <c r="C517" s="135" t="s">
        <v>339</v>
      </c>
      <c r="D517" s="135" t="s">
        <v>2099</v>
      </c>
      <c r="E517" s="135"/>
      <c r="F517" s="135" t="s">
        <v>722</v>
      </c>
      <c r="G517" s="135" t="s">
        <v>2100</v>
      </c>
      <c r="H517" s="131">
        <v>125.72</v>
      </c>
    </row>
    <row r="518" spans="2:8" x14ac:dyDescent="0.2">
      <c r="B518" s="135" t="s">
        <v>2101</v>
      </c>
      <c r="C518" s="135" t="s">
        <v>339</v>
      </c>
      <c r="D518" s="135" t="s">
        <v>2102</v>
      </c>
      <c r="E518" s="135"/>
      <c r="F518" s="135" t="s">
        <v>722</v>
      </c>
      <c r="G518" s="135" t="s">
        <v>2103</v>
      </c>
      <c r="H518" s="131">
        <v>161.54</v>
      </c>
    </row>
    <row r="519" spans="2:8" x14ac:dyDescent="0.2">
      <c r="B519" s="135" t="s">
        <v>2104</v>
      </c>
      <c r="C519" s="135" t="s">
        <v>339</v>
      </c>
      <c r="D519" s="135" t="s">
        <v>2105</v>
      </c>
      <c r="E519" s="135"/>
      <c r="F519" s="135" t="s">
        <v>722</v>
      </c>
      <c r="G519" s="135" t="s">
        <v>2106</v>
      </c>
      <c r="H519" s="131">
        <v>45.88</v>
      </c>
    </row>
    <row r="520" spans="2:8" x14ac:dyDescent="0.2">
      <c r="B520" s="135" t="s">
        <v>2251</v>
      </c>
      <c r="C520" s="135" t="s">
        <v>339</v>
      </c>
      <c r="D520" s="135" t="s">
        <v>2252</v>
      </c>
      <c r="E520" s="135"/>
      <c r="F520" s="135" t="s">
        <v>722</v>
      </c>
      <c r="G520" s="135" t="s">
        <v>2253</v>
      </c>
      <c r="H520" s="131">
        <v>39.81</v>
      </c>
    </row>
    <row r="521" spans="2:8" ht="25" x14ac:dyDescent="0.2">
      <c r="B521" s="135" t="s">
        <v>2240</v>
      </c>
      <c r="C521" s="135" t="s">
        <v>339</v>
      </c>
      <c r="D521" s="135" t="s">
        <v>2365</v>
      </c>
      <c r="E521" s="135"/>
      <c r="F521" s="135" t="s">
        <v>722</v>
      </c>
      <c r="G521" s="135" t="s">
        <v>2366</v>
      </c>
      <c r="H521" s="131">
        <v>34.590000000000003</v>
      </c>
    </row>
    <row r="522" spans="2:8" x14ac:dyDescent="0.2">
      <c r="B522" s="135" t="s">
        <v>2340</v>
      </c>
      <c r="C522" s="135" t="s">
        <v>339</v>
      </c>
      <c r="D522" s="135" t="s">
        <v>2367</v>
      </c>
      <c r="E522" s="135"/>
      <c r="F522" s="135" t="s">
        <v>722</v>
      </c>
      <c r="G522" s="135" t="s">
        <v>2368</v>
      </c>
      <c r="H522" s="131">
        <v>40.5</v>
      </c>
    </row>
    <row r="523" spans="2:8" ht="25" x14ac:dyDescent="0.2">
      <c r="B523" s="135" t="s">
        <v>2340</v>
      </c>
      <c r="C523" s="135" t="s">
        <v>339</v>
      </c>
      <c r="D523" s="135" t="s">
        <v>2369</v>
      </c>
      <c r="E523" s="135"/>
      <c r="F523" s="135" t="s">
        <v>722</v>
      </c>
      <c r="G523" s="135" t="s">
        <v>2366</v>
      </c>
      <c r="H523" s="131">
        <v>-34.590000000000003</v>
      </c>
    </row>
    <row r="524" spans="2:8" x14ac:dyDescent="0.2">
      <c r="B524" s="135" t="s">
        <v>2361</v>
      </c>
      <c r="C524" s="135" t="s">
        <v>339</v>
      </c>
      <c r="D524" s="135" t="s">
        <v>2362</v>
      </c>
      <c r="E524" s="135"/>
      <c r="F524" s="135" t="s">
        <v>722</v>
      </c>
      <c r="G524" s="135" t="s">
        <v>2363</v>
      </c>
      <c r="H524" s="131">
        <v>27.82</v>
      </c>
    </row>
    <row r="525" spans="2:8" x14ac:dyDescent="0.2">
      <c r="B525" s="135" t="s">
        <v>2370</v>
      </c>
      <c r="C525" s="135" t="s">
        <v>339</v>
      </c>
      <c r="D525" s="135" t="s">
        <v>2371</v>
      </c>
      <c r="E525" s="135"/>
      <c r="F525" s="135" t="s">
        <v>722</v>
      </c>
      <c r="G525" s="135" t="s">
        <v>2372</v>
      </c>
      <c r="H525" s="131">
        <v>34.43</v>
      </c>
    </row>
    <row r="526" spans="2:8" x14ac:dyDescent="0.2">
      <c r="B526" s="135" t="s">
        <v>2553</v>
      </c>
      <c r="C526" s="135" t="s">
        <v>339</v>
      </c>
      <c r="D526" s="135" t="s">
        <v>2566</v>
      </c>
      <c r="E526" s="135"/>
      <c r="F526" s="135" t="s">
        <v>722</v>
      </c>
      <c r="G526" s="135" t="s">
        <v>2567</v>
      </c>
      <c r="H526" s="131">
        <v>38.25</v>
      </c>
    </row>
    <row r="527" spans="2:8" x14ac:dyDescent="0.2">
      <c r="B527" s="135" t="s">
        <v>2553</v>
      </c>
      <c r="C527" s="135" t="s">
        <v>339</v>
      </c>
      <c r="D527" s="135" t="s">
        <v>2568</v>
      </c>
      <c r="E527" s="135"/>
      <c r="F527" s="135" t="s">
        <v>722</v>
      </c>
      <c r="G527" s="135" t="s">
        <v>2372</v>
      </c>
      <c r="H527" s="131">
        <v>-34.43</v>
      </c>
    </row>
    <row r="528" spans="2:8" x14ac:dyDescent="0.2">
      <c r="B528" s="135" t="s">
        <v>2569</v>
      </c>
      <c r="C528" s="135" t="s">
        <v>339</v>
      </c>
      <c r="D528" s="135" t="s">
        <v>2570</v>
      </c>
      <c r="E528" s="135"/>
      <c r="F528" s="135" t="s">
        <v>722</v>
      </c>
      <c r="G528" s="135" t="s">
        <v>2571</v>
      </c>
      <c r="H528" s="131">
        <v>11.98</v>
      </c>
    </row>
    <row r="529" spans="1:8" x14ac:dyDescent="0.2">
      <c r="B529" s="135" t="s">
        <v>2548</v>
      </c>
      <c r="C529" s="135" t="s">
        <v>339</v>
      </c>
      <c r="D529" s="135" t="s">
        <v>2572</v>
      </c>
      <c r="E529" s="135"/>
      <c r="F529" s="135" t="s">
        <v>722</v>
      </c>
      <c r="G529" s="135" t="s">
        <v>2573</v>
      </c>
      <c r="H529" s="131">
        <v>21.11</v>
      </c>
    </row>
    <row r="530" spans="1:8" x14ac:dyDescent="0.2">
      <c r="B530" s="135" t="s">
        <v>2737</v>
      </c>
      <c r="C530" s="135" t="s">
        <v>339</v>
      </c>
      <c r="D530" s="135" t="s">
        <v>2753</v>
      </c>
      <c r="E530" s="135"/>
      <c r="F530" s="135" t="s">
        <v>722</v>
      </c>
      <c r="G530" s="135" t="s">
        <v>2754</v>
      </c>
      <c r="H530" s="131">
        <v>23.46</v>
      </c>
    </row>
    <row r="531" spans="1:8" x14ac:dyDescent="0.2">
      <c r="B531" s="135" t="s">
        <v>2755</v>
      </c>
      <c r="C531" s="135" t="s">
        <v>339</v>
      </c>
      <c r="D531" s="135" t="s">
        <v>2756</v>
      </c>
      <c r="E531" s="135"/>
      <c r="F531" s="135" t="s">
        <v>722</v>
      </c>
      <c r="G531" s="135" t="s">
        <v>2573</v>
      </c>
      <c r="H531" s="131">
        <v>-21.11</v>
      </c>
    </row>
    <row r="532" spans="1:8" x14ac:dyDescent="0.2">
      <c r="B532" s="135" t="s">
        <v>2757</v>
      </c>
      <c r="C532" s="135" t="s">
        <v>339</v>
      </c>
      <c r="D532" s="135" t="s">
        <v>2758</v>
      </c>
      <c r="E532" s="135"/>
      <c r="F532" s="135" t="s">
        <v>722</v>
      </c>
      <c r="G532" s="135" t="s">
        <v>2759</v>
      </c>
      <c r="H532" s="131">
        <v>21.25</v>
      </c>
    </row>
    <row r="533" spans="1:8" x14ac:dyDescent="0.2">
      <c r="B533" s="135" t="s">
        <v>2741</v>
      </c>
      <c r="C533" s="135" t="s">
        <v>339</v>
      </c>
      <c r="D533" s="135" t="s">
        <v>2760</v>
      </c>
      <c r="E533" s="135"/>
      <c r="F533" s="135" t="s">
        <v>722</v>
      </c>
      <c r="G533" s="135" t="s">
        <v>2761</v>
      </c>
      <c r="H533" s="131">
        <v>137.46</v>
      </c>
    </row>
    <row r="534" spans="1:8" x14ac:dyDescent="0.2">
      <c r="A534" s="129" t="s">
        <v>697</v>
      </c>
      <c r="H534" s="132">
        <v>1435.04</v>
      </c>
    </row>
    <row r="535" spans="1:8" x14ac:dyDescent="0.2">
      <c r="A535" s="129" t="s">
        <v>758</v>
      </c>
    </row>
    <row r="536" spans="1:8" x14ac:dyDescent="0.2">
      <c r="B536" s="135" t="s">
        <v>832</v>
      </c>
      <c r="C536" s="135" t="s">
        <v>339</v>
      </c>
      <c r="D536" s="135" t="s">
        <v>833</v>
      </c>
      <c r="E536" s="135"/>
      <c r="F536" s="135" t="s">
        <v>722</v>
      </c>
      <c r="G536" s="135" t="s">
        <v>809</v>
      </c>
      <c r="H536" s="131">
        <v>132.66999999999999</v>
      </c>
    </row>
    <row r="537" spans="1:8" x14ac:dyDescent="0.2">
      <c r="B537" s="135" t="s">
        <v>832</v>
      </c>
      <c r="C537" s="135" t="s">
        <v>339</v>
      </c>
      <c r="D537" s="135" t="s">
        <v>833</v>
      </c>
      <c r="E537" s="135"/>
      <c r="F537" s="135" t="s">
        <v>722</v>
      </c>
      <c r="G537" s="135" t="s">
        <v>809</v>
      </c>
      <c r="H537" s="131">
        <v>0</v>
      </c>
    </row>
    <row r="538" spans="1:8" x14ac:dyDescent="0.2">
      <c r="B538" s="135" t="s">
        <v>826</v>
      </c>
      <c r="C538" s="135" t="s">
        <v>339</v>
      </c>
      <c r="D538" s="135" t="s">
        <v>827</v>
      </c>
      <c r="E538" s="135"/>
      <c r="F538" s="135" t="s">
        <v>722</v>
      </c>
      <c r="G538" s="135" t="s">
        <v>828</v>
      </c>
      <c r="H538" s="131">
        <v>89.8</v>
      </c>
    </row>
    <row r="539" spans="1:8" x14ac:dyDescent="0.2">
      <c r="B539" s="135" t="s">
        <v>829</v>
      </c>
      <c r="C539" s="135" t="s">
        <v>339</v>
      </c>
      <c r="D539" s="135" t="s">
        <v>830</v>
      </c>
      <c r="E539" s="135"/>
      <c r="F539" s="135" t="s">
        <v>722</v>
      </c>
      <c r="G539" s="135" t="s">
        <v>831</v>
      </c>
      <c r="H539" s="131">
        <v>78.19</v>
      </c>
    </row>
    <row r="540" spans="1:8" x14ac:dyDescent="0.2">
      <c r="B540" s="135" t="s">
        <v>1015</v>
      </c>
      <c r="C540" s="135" t="s">
        <v>339</v>
      </c>
      <c r="D540" s="135" t="s">
        <v>1016</v>
      </c>
      <c r="E540" s="135"/>
      <c r="F540" s="135" t="s">
        <v>722</v>
      </c>
      <c r="G540" s="135" t="s">
        <v>1017</v>
      </c>
      <c r="H540" s="131">
        <v>86.03</v>
      </c>
    </row>
    <row r="541" spans="1:8" x14ac:dyDescent="0.2">
      <c r="B541" s="135" t="s">
        <v>972</v>
      </c>
      <c r="C541" s="135" t="s">
        <v>339</v>
      </c>
      <c r="D541" s="135" t="s">
        <v>1018</v>
      </c>
      <c r="E541" s="135"/>
      <c r="F541" s="135" t="s">
        <v>722</v>
      </c>
      <c r="G541" s="135" t="s">
        <v>1019</v>
      </c>
      <c r="H541" s="131">
        <v>99.06</v>
      </c>
    </row>
    <row r="542" spans="1:8" x14ac:dyDescent="0.2">
      <c r="B542" s="135" t="s">
        <v>1173</v>
      </c>
      <c r="C542" s="135" t="s">
        <v>339</v>
      </c>
      <c r="D542" s="135" t="s">
        <v>1174</v>
      </c>
      <c r="E542" s="135"/>
      <c r="F542" s="135" t="s">
        <v>722</v>
      </c>
      <c r="G542" s="135" t="s">
        <v>1175</v>
      </c>
      <c r="H542" s="131">
        <v>193.11</v>
      </c>
    </row>
    <row r="543" spans="1:8" x14ac:dyDescent="0.2">
      <c r="B543" s="135" t="s">
        <v>1176</v>
      </c>
      <c r="C543" s="135" t="s">
        <v>339</v>
      </c>
      <c r="D543" s="135" t="s">
        <v>1177</v>
      </c>
      <c r="E543" s="135"/>
      <c r="F543" s="135" t="s">
        <v>722</v>
      </c>
      <c r="G543" s="135" t="s">
        <v>1178</v>
      </c>
      <c r="H543" s="131">
        <v>201.1</v>
      </c>
    </row>
    <row r="544" spans="1:8" x14ac:dyDescent="0.2">
      <c r="B544" s="135" t="s">
        <v>1168</v>
      </c>
      <c r="C544" s="135" t="s">
        <v>339</v>
      </c>
      <c r="D544" s="135" t="s">
        <v>1360</v>
      </c>
      <c r="E544" s="135"/>
      <c r="F544" s="135" t="s">
        <v>722</v>
      </c>
      <c r="G544" s="135" t="s">
        <v>1361</v>
      </c>
      <c r="H544" s="131">
        <v>112.27</v>
      </c>
    </row>
    <row r="545" spans="1:8" x14ac:dyDescent="0.2">
      <c r="B545" s="135" t="s">
        <v>1362</v>
      </c>
      <c r="C545" s="135" t="s">
        <v>339</v>
      </c>
      <c r="D545" s="135" t="s">
        <v>1364</v>
      </c>
      <c r="E545" s="135"/>
      <c r="F545" s="135" t="s">
        <v>722</v>
      </c>
      <c r="G545" s="135" t="s">
        <v>1361</v>
      </c>
      <c r="H545" s="131">
        <v>-112.27</v>
      </c>
    </row>
    <row r="546" spans="1:8" x14ac:dyDescent="0.2">
      <c r="B546" s="135" t="s">
        <v>1545</v>
      </c>
      <c r="C546" s="135" t="s">
        <v>339</v>
      </c>
      <c r="D546" s="135" t="s">
        <v>1546</v>
      </c>
      <c r="E546" s="135"/>
      <c r="F546" s="135" t="s">
        <v>722</v>
      </c>
      <c r="G546" s="135" t="s">
        <v>1547</v>
      </c>
      <c r="H546" s="131">
        <v>0</v>
      </c>
    </row>
    <row r="547" spans="1:8" x14ac:dyDescent="0.2">
      <c r="B547" s="135" t="s">
        <v>2254</v>
      </c>
      <c r="C547" s="135" t="s">
        <v>339</v>
      </c>
      <c r="D547" s="135" t="s">
        <v>2255</v>
      </c>
      <c r="E547" s="135"/>
      <c r="F547" s="135" t="s">
        <v>722</v>
      </c>
      <c r="G547" s="135" t="s">
        <v>2256</v>
      </c>
      <c r="H547" s="131">
        <v>52.84</v>
      </c>
    </row>
    <row r="548" spans="1:8" x14ac:dyDescent="0.2">
      <c r="A548" s="129" t="s">
        <v>759</v>
      </c>
      <c r="H548" s="132">
        <v>932.8</v>
      </c>
    </row>
    <row r="549" spans="1:8" x14ac:dyDescent="0.2">
      <c r="A549" s="129" t="s">
        <v>1431</v>
      </c>
    </row>
    <row r="550" spans="1:8" x14ac:dyDescent="0.2">
      <c r="B550" s="135" t="s">
        <v>1369</v>
      </c>
      <c r="C550" s="135" t="s">
        <v>547</v>
      </c>
      <c r="D550" s="135">
        <v>43024</v>
      </c>
      <c r="E550" s="135" t="s">
        <v>1432</v>
      </c>
      <c r="F550" s="135" t="s">
        <v>722</v>
      </c>
      <c r="G550" s="135" t="s">
        <v>1433</v>
      </c>
      <c r="H550" s="131">
        <v>66.2</v>
      </c>
    </row>
    <row r="551" spans="1:8" x14ac:dyDescent="0.2">
      <c r="B551" s="135" t="s">
        <v>1711</v>
      </c>
      <c r="C551" s="135" t="s">
        <v>547</v>
      </c>
      <c r="D551" s="135">
        <v>62424</v>
      </c>
      <c r="E551" s="135" t="s">
        <v>1432</v>
      </c>
      <c r="F551" s="135" t="s">
        <v>722</v>
      </c>
      <c r="G551" s="135" t="s">
        <v>1717</v>
      </c>
      <c r="H551" s="131">
        <v>66.2</v>
      </c>
    </row>
    <row r="552" spans="1:8" x14ac:dyDescent="0.2">
      <c r="B552" s="135" t="s">
        <v>2741</v>
      </c>
      <c r="C552" s="135" t="s">
        <v>547</v>
      </c>
      <c r="D552" s="135" t="s">
        <v>2797</v>
      </c>
      <c r="E552" s="135" t="s">
        <v>1432</v>
      </c>
      <c r="F552" s="135" t="s">
        <v>722</v>
      </c>
      <c r="G552" s="135" t="s">
        <v>2798</v>
      </c>
      <c r="H552" s="131">
        <v>33.1</v>
      </c>
    </row>
    <row r="553" spans="1:8" x14ac:dyDescent="0.2">
      <c r="A553" s="129" t="s">
        <v>1434</v>
      </c>
      <c r="H553" s="132">
        <v>165.5</v>
      </c>
    </row>
    <row r="554" spans="1:8" x14ac:dyDescent="0.2">
      <c r="A554" s="129" t="s">
        <v>607</v>
      </c>
      <c r="H554" s="132">
        <v>22617.119999999999</v>
      </c>
    </row>
    <row r="555" spans="1:8" x14ac:dyDescent="0.2">
      <c r="A555" s="129" t="s">
        <v>747</v>
      </c>
    </row>
    <row r="556" spans="1:8" x14ac:dyDescent="0.2">
      <c r="A556" s="129" t="s">
        <v>768</v>
      </c>
    </row>
    <row r="557" spans="1:8" x14ac:dyDescent="0.2">
      <c r="B557" s="135" t="s">
        <v>832</v>
      </c>
      <c r="C557" s="135" t="s">
        <v>339</v>
      </c>
      <c r="D557" s="135" t="s">
        <v>833</v>
      </c>
      <c r="E557" s="135"/>
      <c r="F557" s="135" t="s">
        <v>722</v>
      </c>
      <c r="G557" s="135" t="s">
        <v>809</v>
      </c>
      <c r="H557" s="131">
        <v>24.41</v>
      </c>
    </row>
    <row r="558" spans="1:8" x14ac:dyDescent="0.2">
      <c r="B558" s="135" t="s">
        <v>832</v>
      </c>
      <c r="C558" s="135" t="s">
        <v>339</v>
      </c>
      <c r="D558" s="135" t="s">
        <v>833</v>
      </c>
      <c r="E558" s="135"/>
      <c r="F558" s="135" t="s">
        <v>722</v>
      </c>
      <c r="G558" s="135" t="s">
        <v>809</v>
      </c>
      <c r="H558" s="131">
        <v>83.8</v>
      </c>
    </row>
    <row r="559" spans="1:8" x14ac:dyDescent="0.2">
      <c r="B559" s="135" t="s">
        <v>826</v>
      </c>
      <c r="C559" s="135" t="s">
        <v>339</v>
      </c>
      <c r="D559" s="135" t="s">
        <v>827</v>
      </c>
      <c r="E559" s="135"/>
      <c r="F559" s="135" t="s">
        <v>722</v>
      </c>
      <c r="G559" s="135" t="s">
        <v>828</v>
      </c>
      <c r="H559" s="131">
        <v>75.88</v>
      </c>
    </row>
    <row r="560" spans="1:8" x14ac:dyDescent="0.2">
      <c r="B560" s="135" t="s">
        <v>829</v>
      </c>
      <c r="C560" s="135" t="s">
        <v>339</v>
      </c>
      <c r="D560" s="135" t="s">
        <v>830</v>
      </c>
      <c r="E560" s="135"/>
      <c r="F560" s="135" t="s">
        <v>722</v>
      </c>
      <c r="G560" s="135" t="s">
        <v>831</v>
      </c>
      <c r="H560" s="131">
        <v>86.98</v>
      </c>
    </row>
    <row r="561" spans="2:8" x14ac:dyDescent="0.2">
      <c r="B561" s="135" t="s">
        <v>1173</v>
      </c>
      <c r="C561" s="135" t="s">
        <v>339</v>
      </c>
      <c r="D561" s="135" t="s">
        <v>1174</v>
      </c>
      <c r="E561" s="135"/>
      <c r="F561" s="135" t="s">
        <v>722</v>
      </c>
      <c r="G561" s="135" t="s">
        <v>1175</v>
      </c>
      <c r="H561" s="131">
        <v>-16.03</v>
      </c>
    </row>
    <row r="562" spans="2:8" x14ac:dyDescent="0.2">
      <c r="B562" s="135" t="s">
        <v>1176</v>
      </c>
      <c r="C562" s="135" t="s">
        <v>339</v>
      </c>
      <c r="D562" s="135" t="s">
        <v>1177</v>
      </c>
      <c r="E562" s="135"/>
      <c r="F562" s="135" t="s">
        <v>722</v>
      </c>
      <c r="G562" s="135" t="s">
        <v>1178</v>
      </c>
      <c r="H562" s="131">
        <v>-7.77</v>
      </c>
    </row>
    <row r="563" spans="2:8" x14ac:dyDescent="0.2">
      <c r="B563" s="135" t="s">
        <v>1362</v>
      </c>
      <c r="C563" s="135" t="s">
        <v>339</v>
      </c>
      <c r="D563" s="135" t="s">
        <v>1363</v>
      </c>
      <c r="E563" s="135"/>
      <c r="F563" s="135" t="s">
        <v>722</v>
      </c>
      <c r="G563" s="135" t="s">
        <v>1361</v>
      </c>
      <c r="H563" s="131">
        <v>-7.93</v>
      </c>
    </row>
    <row r="564" spans="2:8" x14ac:dyDescent="0.2">
      <c r="B564" s="135" t="s">
        <v>1362</v>
      </c>
      <c r="C564" s="135" t="s">
        <v>339</v>
      </c>
      <c r="D564" s="135" t="s">
        <v>1363</v>
      </c>
      <c r="E564" s="135"/>
      <c r="F564" s="135" t="s">
        <v>722</v>
      </c>
      <c r="G564" s="135" t="s">
        <v>1361</v>
      </c>
      <c r="H564" s="131">
        <v>112.56</v>
      </c>
    </row>
    <row r="565" spans="2:8" x14ac:dyDescent="0.2">
      <c r="B565" s="135" t="s">
        <v>1312</v>
      </c>
      <c r="C565" s="135" t="s">
        <v>339</v>
      </c>
      <c r="D565" s="135" t="s">
        <v>1365</v>
      </c>
      <c r="E565" s="135"/>
      <c r="F565" s="135" t="s">
        <v>722</v>
      </c>
      <c r="G565" s="135" t="s">
        <v>1366</v>
      </c>
      <c r="H565" s="131">
        <v>61.98</v>
      </c>
    </row>
    <row r="566" spans="2:8" x14ac:dyDescent="0.2">
      <c r="B566" s="135" t="s">
        <v>1312</v>
      </c>
      <c r="C566" s="135" t="s">
        <v>339</v>
      </c>
      <c r="D566" s="135" t="s">
        <v>1365</v>
      </c>
      <c r="E566" s="135"/>
      <c r="F566" s="135" t="s">
        <v>722</v>
      </c>
      <c r="G566" s="135" t="s">
        <v>1366</v>
      </c>
      <c r="H566" s="131">
        <v>-7.82</v>
      </c>
    </row>
    <row r="567" spans="2:8" x14ac:dyDescent="0.2">
      <c r="B567" s="135" t="s">
        <v>1542</v>
      </c>
      <c r="C567" s="135" t="s">
        <v>339</v>
      </c>
      <c r="D567" s="135" t="s">
        <v>1543</v>
      </c>
      <c r="E567" s="135"/>
      <c r="F567" s="135" t="s">
        <v>722</v>
      </c>
      <c r="G567" s="135" t="s">
        <v>1544</v>
      </c>
      <c r="H567" s="131">
        <v>-7.87</v>
      </c>
    </row>
    <row r="568" spans="2:8" x14ac:dyDescent="0.2">
      <c r="B568" s="135" t="s">
        <v>1545</v>
      </c>
      <c r="C568" s="135" t="s">
        <v>339</v>
      </c>
      <c r="D568" s="135" t="s">
        <v>1546</v>
      </c>
      <c r="E568" s="135"/>
      <c r="F568" s="135" t="s">
        <v>722</v>
      </c>
      <c r="G568" s="135" t="s">
        <v>1547</v>
      </c>
      <c r="H568" s="131">
        <v>-53.83</v>
      </c>
    </row>
    <row r="569" spans="2:8" x14ac:dyDescent="0.2">
      <c r="B569" s="135" t="s">
        <v>1608</v>
      </c>
      <c r="C569" s="135" t="s">
        <v>339</v>
      </c>
      <c r="D569" s="135" t="s">
        <v>1656</v>
      </c>
      <c r="E569" s="135"/>
      <c r="F569" s="135" t="s">
        <v>722</v>
      </c>
      <c r="G569" s="135" t="s">
        <v>1550</v>
      </c>
      <c r="H569" s="131">
        <v>-7.87</v>
      </c>
    </row>
    <row r="570" spans="2:8" x14ac:dyDescent="0.2">
      <c r="B570" s="135" t="s">
        <v>1643</v>
      </c>
      <c r="C570" s="135" t="s">
        <v>339</v>
      </c>
      <c r="D570" s="135" t="s">
        <v>1644</v>
      </c>
      <c r="E570" s="135"/>
      <c r="F570" s="135" t="s">
        <v>722</v>
      </c>
      <c r="G570" s="135" t="s">
        <v>1645</v>
      </c>
      <c r="H570" s="131">
        <v>-7.87</v>
      </c>
    </row>
    <row r="571" spans="2:8" x14ac:dyDescent="0.2">
      <c r="B571" s="135" t="s">
        <v>1788</v>
      </c>
      <c r="C571" s="135" t="s">
        <v>102</v>
      </c>
      <c r="D571" s="135"/>
      <c r="E571" s="135" t="s">
        <v>1900</v>
      </c>
      <c r="F571" s="135" t="s">
        <v>722</v>
      </c>
      <c r="G571" s="135" t="s">
        <v>2010</v>
      </c>
      <c r="H571" s="131">
        <v>536.47</v>
      </c>
    </row>
    <row r="572" spans="2:8" x14ac:dyDescent="0.2">
      <c r="B572" s="135" t="s">
        <v>1789</v>
      </c>
      <c r="C572" s="135" t="s">
        <v>339</v>
      </c>
      <c r="D572" s="135" t="s">
        <v>1852</v>
      </c>
      <c r="E572" s="135"/>
      <c r="F572" s="135" t="s">
        <v>722</v>
      </c>
      <c r="G572" s="135" t="s">
        <v>1652</v>
      </c>
      <c r="H572" s="131">
        <v>-7.87</v>
      </c>
    </row>
    <row r="573" spans="2:8" x14ac:dyDescent="0.2">
      <c r="B573" s="135" t="s">
        <v>1854</v>
      </c>
      <c r="C573" s="135" t="s">
        <v>339</v>
      </c>
      <c r="D573" s="135" t="s">
        <v>1855</v>
      </c>
      <c r="E573" s="135"/>
      <c r="F573" s="135" t="s">
        <v>722</v>
      </c>
      <c r="G573" s="135" t="s">
        <v>1856</v>
      </c>
      <c r="H573" s="131">
        <v>-7.87</v>
      </c>
    </row>
    <row r="574" spans="2:8" x14ac:dyDescent="0.2">
      <c r="B574" s="135" t="s">
        <v>2097</v>
      </c>
      <c r="C574" s="135" t="s">
        <v>339</v>
      </c>
      <c r="D574" s="135" t="s">
        <v>2099</v>
      </c>
      <c r="E574" s="135"/>
      <c r="F574" s="135" t="s">
        <v>722</v>
      </c>
      <c r="G574" s="135" t="s">
        <v>2100</v>
      </c>
      <c r="H574" s="131">
        <v>-7.98</v>
      </c>
    </row>
    <row r="575" spans="2:8" x14ac:dyDescent="0.2">
      <c r="B575" s="135" t="s">
        <v>2101</v>
      </c>
      <c r="C575" s="135" t="s">
        <v>339</v>
      </c>
      <c r="D575" s="135" t="s">
        <v>2102</v>
      </c>
      <c r="E575" s="135"/>
      <c r="F575" s="135" t="s">
        <v>722</v>
      </c>
      <c r="G575" s="135" t="s">
        <v>2103</v>
      </c>
      <c r="H575" s="131">
        <v>-9.81</v>
      </c>
    </row>
    <row r="576" spans="2:8" x14ac:dyDescent="0.2">
      <c r="B576" s="135" t="s">
        <v>2104</v>
      </c>
      <c r="C576" s="135" t="s">
        <v>339</v>
      </c>
      <c r="D576" s="135" t="s">
        <v>2105</v>
      </c>
      <c r="E576" s="135"/>
      <c r="F576" s="135" t="s">
        <v>722</v>
      </c>
      <c r="G576" s="135" t="s">
        <v>2106</v>
      </c>
      <c r="H576" s="131">
        <v>-3.44</v>
      </c>
    </row>
    <row r="577" spans="1:8" x14ac:dyDescent="0.2">
      <c r="B577" s="135" t="s">
        <v>2254</v>
      </c>
      <c r="C577" s="135" t="s">
        <v>339</v>
      </c>
      <c r="D577" s="135" t="s">
        <v>2255</v>
      </c>
      <c r="E577" s="135"/>
      <c r="F577" s="135" t="s">
        <v>722</v>
      </c>
      <c r="G577" s="135" t="s">
        <v>2256</v>
      </c>
      <c r="H577" s="131">
        <v>-3.44</v>
      </c>
    </row>
    <row r="578" spans="1:8" x14ac:dyDescent="0.2">
      <c r="B578" s="135" t="s">
        <v>2251</v>
      </c>
      <c r="C578" s="135" t="s">
        <v>339</v>
      </c>
      <c r="D578" s="135" t="s">
        <v>2252</v>
      </c>
      <c r="E578" s="135"/>
      <c r="F578" s="135" t="s">
        <v>722</v>
      </c>
      <c r="G578" s="135" t="s">
        <v>2253</v>
      </c>
      <c r="H578" s="131">
        <v>-3.44</v>
      </c>
    </row>
    <row r="579" spans="1:8" x14ac:dyDescent="0.2">
      <c r="B579" s="135" t="s">
        <v>2340</v>
      </c>
      <c r="C579" s="135" t="s">
        <v>339</v>
      </c>
      <c r="D579" s="135" t="s">
        <v>2367</v>
      </c>
      <c r="E579" s="135"/>
      <c r="F579" s="135" t="s">
        <v>722</v>
      </c>
      <c r="G579" s="135" t="s">
        <v>2368</v>
      </c>
      <c r="H579" s="131">
        <v>-3.44</v>
      </c>
    </row>
    <row r="580" spans="1:8" x14ac:dyDescent="0.2">
      <c r="B580" s="135" t="s">
        <v>2361</v>
      </c>
      <c r="C580" s="135" t="s">
        <v>339</v>
      </c>
      <c r="D580" s="135" t="s">
        <v>2362</v>
      </c>
      <c r="E580" s="135"/>
      <c r="F580" s="135" t="s">
        <v>722</v>
      </c>
      <c r="G580" s="135" t="s">
        <v>2363</v>
      </c>
      <c r="H580" s="131">
        <v>-3.44</v>
      </c>
    </row>
    <row r="581" spans="1:8" x14ac:dyDescent="0.2">
      <c r="B581" s="135" t="s">
        <v>2553</v>
      </c>
      <c r="C581" s="135" t="s">
        <v>339</v>
      </c>
      <c r="D581" s="135" t="s">
        <v>2566</v>
      </c>
      <c r="E581" s="135"/>
      <c r="F581" s="135" t="s">
        <v>722</v>
      </c>
      <c r="G581" s="135" t="s">
        <v>2567</v>
      </c>
      <c r="H581" s="131">
        <v>-3.44</v>
      </c>
    </row>
    <row r="582" spans="1:8" x14ac:dyDescent="0.2">
      <c r="B582" s="135" t="s">
        <v>2569</v>
      </c>
      <c r="C582" s="135" t="s">
        <v>339</v>
      </c>
      <c r="D582" s="135" t="s">
        <v>2570</v>
      </c>
      <c r="E582" s="135"/>
      <c r="F582" s="135" t="s">
        <v>722</v>
      </c>
      <c r="G582" s="135" t="s">
        <v>2571</v>
      </c>
      <c r="H582" s="131">
        <v>-3.44</v>
      </c>
    </row>
    <row r="583" spans="1:8" x14ac:dyDescent="0.2">
      <c r="B583" s="135" t="s">
        <v>2737</v>
      </c>
      <c r="C583" s="135" t="s">
        <v>339</v>
      </c>
      <c r="D583" s="135" t="s">
        <v>2753</v>
      </c>
      <c r="E583" s="135"/>
      <c r="F583" s="135" t="s">
        <v>722</v>
      </c>
      <c r="G583" s="135" t="s">
        <v>2754</v>
      </c>
      <c r="H583" s="131">
        <v>-3.44</v>
      </c>
    </row>
    <row r="584" spans="1:8" x14ac:dyDescent="0.2">
      <c r="B584" s="135" t="s">
        <v>2757</v>
      </c>
      <c r="C584" s="135" t="s">
        <v>339</v>
      </c>
      <c r="D584" s="135" t="s">
        <v>2758</v>
      </c>
      <c r="E584" s="135"/>
      <c r="F584" s="135" t="s">
        <v>722</v>
      </c>
      <c r="G584" s="135" t="s">
        <v>2759</v>
      </c>
      <c r="H584" s="131">
        <v>-3.44</v>
      </c>
    </row>
    <row r="585" spans="1:8" x14ac:dyDescent="0.2">
      <c r="A585" s="129" t="s">
        <v>769</v>
      </c>
      <c r="H585" s="132">
        <v>800.6</v>
      </c>
    </row>
    <row r="586" spans="1:8" x14ac:dyDescent="0.2">
      <c r="A586" s="129" t="s">
        <v>1108</v>
      </c>
    </row>
    <row r="587" spans="1:8" x14ac:dyDescent="0.2">
      <c r="B587" s="135" t="s">
        <v>1021</v>
      </c>
      <c r="C587" s="135" t="s">
        <v>102</v>
      </c>
      <c r="D587" s="135">
        <v>6007637</v>
      </c>
      <c r="E587" s="135" t="s">
        <v>1022</v>
      </c>
      <c r="F587" s="135" t="s">
        <v>722</v>
      </c>
      <c r="G587" s="135" t="s">
        <v>1109</v>
      </c>
      <c r="H587" s="131">
        <v>336.94</v>
      </c>
    </row>
    <row r="588" spans="1:8" x14ac:dyDescent="0.2">
      <c r="B588" s="135" t="s">
        <v>1179</v>
      </c>
      <c r="C588" s="135" t="s">
        <v>102</v>
      </c>
      <c r="D588" s="135" t="s">
        <v>1180</v>
      </c>
      <c r="E588" s="135" t="s">
        <v>1022</v>
      </c>
      <c r="F588" s="135" t="s">
        <v>722</v>
      </c>
      <c r="G588" s="135" t="s">
        <v>1109</v>
      </c>
      <c r="H588" s="131">
        <v>751.13</v>
      </c>
    </row>
    <row r="589" spans="1:8" x14ac:dyDescent="0.2">
      <c r="B589" s="135" t="s">
        <v>1659</v>
      </c>
      <c r="C589" s="135" t="s">
        <v>102</v>
      </c>
      <c r="D589" s="135">
        <v>6007637</v>
      </c>
      <c r="E589" s="135" t="s">
        <v>1022</v>
      </c>
      <c r="F589" s="135" t="s">
        <v>722</v>
      </c>
      <c r="G589" s="135" t="s">
        <v>1109</v>
      </c>
      <c r="H589" s="131">
        <v>602.69000000000005</v>
      </c>
    </row>
    <row r="590" spans="1:8" x14ac:dyDescent="0.2">
      <c r="B590" s="135" t="s">
        <v>2112</v>
      </c>
      <c r="C590" s="135" t="s">
        <v>102</v>
      </c>
      <c r="D590" s="135">
        <v>6007637</v>
      </c>
      <c r="E590" s="135" t="s">
        <v>1022</v>
      </c>
      <c r="F590" s="135" t="s">
        <v>722</v>
      </c>
      <c r="G590" s="135" t="s">
        <v>1109</v>
      </c>
      <c r="H590" s="131">
        <v>391.06</v>
      </c>
    </row>
    <row r="591" spans="1:8" x14ac:dyDescent="0.2">
      <c r="A591" s="129" t="s">
        <v>1110</v>
      </c>
      <c r="H591" s="132">
        <v>2081.8200000000002</v>
      </c>
    </row>
    <row r="592" spans="1:8" x14ac:dyDescent="0.2">
      <c r="A592" s="129" t="s">
        <v>770</v>
      </c>
    </row>
    <row r="593" spans="1:8" x14ac:dyDescent="0.2">
      <c r="B593" s="135" t="s">
        <v>894</v>
      </c>
      <c r="C593" s="135" t="s">
        <v>3</v>
      </c>
      <c r="D593" s="135"/>
      <c r="E593" s="135" t="s">
        <v>771</v>
      </c>
      <c r="F593" s="135" t="s">
        <v>722</v>
      </c>
      <c r="G593" s="135" t="s">
        <v>772</v>
      </c>
      <c r="H593" s="131">
        <v>3.9</v>
      </c>
    </row>
    <row r="594" spans="1:8" x14ac:dyDescent="0.2">
      <c r="B594" s="135" t="s">
        <v>895</v>
      </c>
      <c r="C594" s="135" t="s">
        <v>3</v>
      </c>
      <c r="D594" s="135"/>
      <c r="E594" s="135" t="s">
        <v>771</v>
      </c>
      <c r="F594" s="135" t="s">
        <v>722</v>
      </c>
      <c r="G594" s="135" t="s">
        <v>772</v>
      </c>
      <c r="H594" s="131">
        <v>120.52</v>
      </c>
    </row>
    <row r="595" spans="1:8" x14ac:dyDescent="0.2">
      <c r="B595" s="135" t="s">
        <v>1024</v>
      </c>
      <c r="C595" s="135" t="s">
        <v>3</v>
      </c>
      <c r="D595" s="135"/>
      <c r="E595" s="135" t="s">
        <v>771</v>
      </c>
      <c r="F595" s="135" t="s">
        <v>722</v>
      </c>
      <c r="G595" s="135" t="s">
        <v>772</v>
      </c>
      <c r="H595" s="131">
        <v>3.9</v>
      </c>
    </row>
    <row r="596" spans="1:8" x14ac:dyDescent="0.2">
      <c r="B596" s="135" t="s">
        <v>1176</v>
      </c>
      <c r="C596" s="135" t="s">
        <v>3</v>
      </c>
      <c r="D596" s="135"/>
      <c r="E596" s="135" t="s">
        <v>771</v>
      </c>
      <c r="F596" s="135" t="s">
        <v>722</v>
      </c>
      <c r="G596" s="135" t="s">
        <v>772</v>
      </c>
      <c r="H596" s="131">
        <v>3.9</v>
      </c>
    </row>
    <row r="597" spans="1:8" x14ac:dyDescent="0.2">
      <c r="B597" s="135" t="s">
        <v>1305</v>
      </c>
      <c r="C597" s="135" t="s">
        <v>3</v>
      </c>
      <c r="D597" s="135"/>
      <c r="E597" s="135" t="s">
        <v>771</v>
      </c>
      <c r="F597" s="135" t="s">
        <v>722</v>
      </c>
      <c r="G597" s="135" t="s">
        <v>772</v>
      </c>
      <c r="H597" s="131">
        <v>3.9</v>
      </c>
    </row>
    <row r="598" spans="1:8" x14ac:dyDescent="0.2">
      <c r="B598" s="135" t="s">
        <v>1545</v>
      </c>
      <c r="C598" s="135" t="s">
        <v>3</v>
      </c>
      <c r="D598" s="135"/>
      <c r="E598" s="135" t="s">
        <v>771</v>
      </c>
      <c r="F598" s="135" t="s">
        <v>722</v>
      </c>
      <c r="G598" s="135" t="s">
        <v>772</v>
      </c>
      <c r="H598" s="131">
        <v>3.9</v>
      </c>
    </row>
    <row r="599" spans="1:8" x14ac:dyDescent="0.2">
      <c r="B599" s="135" t="s">
        <v>1718</v>
      </c>
      <c r="C599" s="135" t="s">
        <v>3</v>
      </c>
      <c r="D599" s="135"/>
      <c r="E599" s="135" t="s">
        <v>771</v>
      </c>
      <c r="F599" s="135" t="s">
        <v>722</v>
      </c>
      <c r="G599" s="135" t="s">
        <v>772</v>
      </c>
      <c r="H599" s="131">
        <v>3.9</v>
      </c>
    </row>
    <row r="600" spans="1:8" x14ac:dyDescent="0.2">
      <c r="B600" s="135" t="s">
        <v>1854</v>
      </c>
      <c r="C600" s="135" t="s">
        <v>3</v>
      </c>
      <c r="D600" s="135"/>
      <c r="E600" s="135" t="s">
        <v>771</v>
      </c>
      <c r="F600" s="135" t="s">
        <v>722</v>
      </c>
      <c r="G600" s="135" t="s">
        <v>772</v>
      </c>
      <c r="H600" s="131">
        <v>3.9</v>
      </c>
    </row>
    <row r="601" spans="1:8" x14ac:dyDescent="0.2">
      <c r="B601" s="135" t="s">
        <v>2113</v>
      </c>
      <c r="C601" s="135" t="s">
        <v>3</v>
      </c>
      <c r="D601" s="135"/>
      <c r="E601" s="135" t="s">
        <v>771</v>
      </c>
      <c r="F601" s="135" t="s">
        <v>722</v>
      </c>
      <c r="G601" s="135" t="s">
        <v>772</v>
      </c>
      <c r="H601" s="131">
        <v>3.9</v>
      </c>
    </row>
    <row r="602" spans="1:8" x14ac:dyDescent="0.2">
      <c r="B602" s="135" t="s">
        <v>2237</v>
      </c>
      <c r="C602" s="135" t="s">
        <v>3</v>
      </c>
      <c r="D602" s="135"/>
      <c r="E602" s="135" t="s">
        <v>771</v>
      </c>
      <c r="F602" s="135" t="s">
        <v>722</v>
      </c>
      <c r="G602" s="135" t="s">
        <v>772</v>
      </c>
      <c r="H602" s="131">
        <v>3.9</v>
      </c>
    </row>
    <row r="603" spans="1:8" x14ac:dyDescent="0.2">
      <c r="B603" s="135" t="s">
        <v>2361</v>
      </c>
      <c r="C603" s="135" t="s">
        <v>3</v>
      </c>
      <c r="D603" s="135"/>
      <c r="E603" s="135" t="s">
        <v>771</v>
      </c>
      <c r="F603" s="135" t="s">
        <v>722</v>
      </c>
      <c r="G603" s="135" t="s">
        <v>772</v>
      </c>
      <c r="H603" s="131">
        <v>3.9</v>
      </c>
    </row>
    <row r="604" spans="1:8" x14ac:dyDescent="0.2">
      <c r="B604" s="135" t="s">
        <v>2606</v>
      </c>
      <c r="C604" s="135" t="s">
        <v>3</v>
      </c>
      <c r="D604" s="135"/>
      <c r="E604" s="135" t="s">
        <v>771</v>
      </c>
      <c r="F604" s="135" t="s">
        <v>722</v>
      </c>
      <c r="G604" s="135" t="s">
        <v>772</v>
      </c>
      <c r="H604" s="131">
        <v>3.9</v>
      </c>
    </row>
    <row r="605" spans="1:8" x14ac:dyDescent="0.2">
      <c r="B605" s="135" t="s">
        <v>2746</v>
      </c>
      <c r="C605" s="135" t="s">
        <v>3</v>
      </c>
      <c r="D605" s="135"/>
      <c r="E605" s="135" t="s">
        <v>771</v>
      </c>
      <c r="F605" s="135" t="s">
        <v>722</v>
      </c>
      <c r="G605" s="135" t="s">
        <v>772</v>
      </c>
      <c r="H605" s="131">
        <v>3.9</v>
      </c>
    </row>
    <row r="606" spans="1:8" x14ac:dyDescent="0.2">
      <c r="A606" s="129" t="s">
        <v>773</v>
      </c>
      <c r="H606" s="132">
        <v>167.32</v>
      </c>
    </row>
    <row r="607" spans="1:8" x14ac:dyDescent="0.2">
      <c r="A607" s="129" t="s">
        <v>2442</v>
      </c>
    </row>
    <row r="608" spans="1:8" x14ac:dyDescent="0.2">
      <c r="B608" s="135" t="s">
        <v>2399</v>
      </c>
      <c r="C608" s="135" t="s">
        <v>3</v>
      </c>
      <c r="D608" s="135"/>
      <c r="E608" s="135" t="s">
        <v>1050</v>
      </c>
      <c r="F608" s="135" t="s">
        <v>722</v>
      </c>
      <c r="G608" s="135" t="s">
        <v>2443</v>
      </c>
      <c r="H608" s="131">
        <v>21.6</v>
      </c>
    </row>
    <row r="609" spans="1:8" x14ac:dyDescent="0.2">
      <c r="A609" s="129" t="s">
        <v>2444</v>
      </c>
      <c r="H609" s="132">
        <v>21.6</v>
      </c>
    </row>
    <row r="610" spans="1:8" x14ac:dyDescent="0.2">
      <c r="A610" s="129" t="s">
        <v>748</v>
      </c>
      <c r="H610" s="132">
        <v>3071.34</v>
      </c>
    </row>
    <row r="611" spans="1:8" x14ac:dyDescent="0.2">
      <c r="A611" s="129" t="s">
        <v>369</v>
      </c>
      <c r="H611" s="132">
        <v>140914.66</v>
      </c>
    </row>
    <row r="612" spans="1:8" x14ac:dyDescent="0.2">
      <c r="A612" s="129" t="s">
        <v>370</v>
      </c>
    </row>
    <row r="613" spans="1:8" x14ac:dyDescent="0.2">
      <c r="A613" s="129" t="s">
        <v>371</v>
      </c>
    </row>
    <row r="614" spans="1:8" x14ac:dyDescent="0.2">
      <c r="A614" s="129" t="s">
        <v>372</v>
      </c>
    </row>
    <row r="615" spans="1:8" x14ac:dyDescent="0.2">
      <c r="B615" s="135" t="s">
        <v>836</v>
      </c>
      <c r="C615" s="135" t="s">
        <v>102</v>
      </c>
      <c r="D615" s="135">
        <v>19708</v>
      </c>
      <c r="E615" s="135" t="s">
        <v>485</v>
      </c>
      <c r="F615" s="135" t="s">
        <v>722</v>
      </c>
      <c r="G615" s="135" t="s">
        <v>896</v>
      </c>
      <c r="H615" s="131">
        <v>71.290000000000006</v>
      </c>
    </row>
    <row r="616" spans="1:8" x14ac:dyDescent="0.2">
      <c r="B616" s="135" t="s">
        <v>1111</v>
      </c>
      <c r="C616" s="135" t="s">
        <v>102</v>
      </c>
      <c r="D616" s="135">
        <v>19807</v>
      </c>
      <c r="E616" s="135" t="s">
        <v>485</v>
      </c>
      <c r="F616" s="135" t="s">
        <v>722</v>
      </c>
      <c r="G616" s="135" t="s">
        <v>896</v>
      </c>
      <c r="H616" s="131">
        <v>71.290000000000006</v>
      </c>
    </row>
    <row r="617" spans="1:8" x14ac:dyDescent="0.2">
      <c r="B617" s="135" t="s">
        <v>1197</v>
      </c>
      <c r="C617" s="135" t="s">
        <v>547</v>
      </c>
      <c r="D617" s="135">
        <v>30424</v>
      </c>
      <c r="E617" s="135" t="s">
        <v>485</v>
      </c>
      <c r="F617" s="135" t="s">
        <v>722</v>
      </c>
      <c r="G617" s="135" t="s">
        <v>1243</v>
      </c>
      <c r="H617" s="131">
        <v>71.290000000000006</v>
      </c>
    </row>
    <row r="618" spans="1:8" x14ac:dyDescent="0.2">
      <c r="B618" s="135" t="s">
        <v>1280</v>
      </c>
      <c r="C618" s="135" t="s">
        <v>102</v>
      </c>
      <c r="D618" s="135">
        <v>19998</v>
      </c>
      <c r="E618" s="135" t="s">
        <v>485</v>
      </c>
      <c r="F618" s="135" t="s">
        <v>722</v>
      </c>
      <c r="G618" s="135" t="s">
        <v>896</v>
      </c>
      <c r="H618" s="131">
        <v>70.62</v>
      </c>
    </row>
    <row r="619" spans="1:8" x14ac:dyDescent="0.2">
      <c r="B619" s="135" t="s">
        <v>1455</v>
      </c>
      <c r="C619" s="135" t="s">
        <v>547</v>
      </c>
      <c r="D619" s="135">
        <v>50624</v>
      </c>
      <c r="E619" s="135" t="s">
        <v>485</v>
      </c>
      <c r="F619" s="135" t="s">
        <v>722</v>
      </c>
      <c r="G619" s="135" t="s">
        <v>1590</v>
      </c>
      <c r="H619" s="131">
        <v>70.62</v>
      </c>
    </row>
    <row r="620" spans="1:8" x14ac:dyDescent="0.2">
      <c r="B620" s="135" t="s">
        <v>1666</v>
      </c>
      <c r="C620" s="135" t="s">
        <v>547</v>
      </c>
      <c r="D620" s="135">
        <v>61124</v>
      </c>
      <c r="E620" s="135" t="s">
        <v>485</v>
      </c>
      <c r="F620" s="135" t="s">
        <v>722</v>
      </c>
      <c r="G620" s="135" t="s">
        <v>1719</v>
      </c>
      <c r="H620" s="131">
        <v>70.62</v>
      </c>
    </row>
    <row r="621" spans="1:8" x14ac:dyDescent="0.2">
      <c r="B621" s="135" t="s">
        <v>1793</v>
      </c>
      <c r="C621" s="135" t="s">
        <v>547</v>
      </c>
      <c r="D621" s="135">
        <v>70924</v>
      </c>
      <c r="E621" s="135" t="s">
        <v>485</v>
      </c>
      <c r="F621" s="135" t="s">
        <v>722</v>
      </c>
      <c r="G621" s="135" t="s">
        <v>2013</v>
      </c>
      <c r="H621" s="131">
        <v>71.22</v>
      </c>
    </row>
    <row r="622" spans="1:8" x14ac:dyDescent="0.2">
      <c r="B622" s="135" t="s">
        <v>2128</v>
      </c>
      <c r="C622" s="135" t="s">
        <v>547</v>
      </c>
      <c r="D622" s="135">
        <v>80624</v>
      </c>
      <c r="E622" s="135" t="s">
        <v>485</v>
      </c>
      <c r="F622" s="135" t="s">
        <v>722</v>
      </c>
      <c r="G622" s="135"/>
      <c r="H622" s="131">
        <v>71.22</v>
      </c>
    </row>
    <row r="623" spans="1:8" x14ac:dyDescent="0.2">
      <c r="B623" s="135" t="s">
        <v>2260</v>
      </c>
      <c r="C623" s="135" t="s">
        <v>547</v>
      </c>
      <c r="D623" s="135">
        <v>91024</v>
      </c>
      <c r="E623" s="135" t="s">
        <v>485</v>
      </c>
      <c r="F623" s="135" t="s">
        <v>722</v>
      </c>
      <c r="G623" s="135" t="s">
        <v>2306</v>
      </c>
      <c r="H623" s="131">
        <v>71.22</v>
      </c>
    </row>
    <row r="624" spans="1:8" x14ac:dyDescent="0.2">
      <c r="B624" s="135" t="s">
        <v>2606</v>
      </c>
      <c r="C624" s="135" t="s">
        <v>547</v>
      </c>
      <c r="D624" s="135">
        <v>110424</v>
      </c>
      <c r="E624" s="135" t="s">
        <v>485</v>
      </c>
      <c r="F624" s="135" t="s">
        <v>722</v>
      </c>
      <c r="G624" s="135" t="s">
        <v>2618</v>
      </c>
      <c r="H624" s="131">
        <v>71.73</v>
      </c>
    </row>
    <row r="625" spans="1:8" x14ac:dyDescent="0.2">
      <c r="B625" s="135" t="s">
        <v>2606</v>
      </c>
      <c r="C625" s="135" t="s">
        <v>547</v>
      </c>
      <c r="D625" s="135">
        <v>110424</v>
      </c>
      <c r="E625" s="135" t="s">
        <v>485</v>
      </c>
      <c r="F625" s="135" t="s">
        <v>722</v>
      </c>
      <c r="G625" s="135" t="s">
        <v>2617</v>
      </c>
      <c r="H625" s="131">
        <v>71.73</v>
      </c>
    </row>
    <row r="626" spans="1:8" x14ac:dyDescent="0.2">
      <c r="B626" s="135" t="s">
        <v>2780</v>
      </c>
      <c r="C626" s="135" t="s">
        <v>547</v>
      </c>
      <c r="D626" s="135">
        <v>120524</v>
      </c>
      <c r="E626" s="135" t="s">
        <v>485</v>
      </c>
      <c r="F626" s="135" t="s">
        <v>722</v>
      </c>
      <c r="G626" s="135" t="s">
        <v>2799</v>
      </c>
      <c r="H626" s="131">
        <v>71.73</v>
      </c>
    </row>
    <row r="627" spans="1:8" x14ac:dyDescent="0.2">
      <c r="A627" s="129" t="s">
        <v>373</v>
      </c>
      <c r="H627" s="132">
        <v>854.58</v>
      </c>
    </row>
    <row r="628" spans="1:8" x14ac:dyDescent="0.2">
      <c r="A628" s="129" t="s">
        <v>1112</v>
      </c>
    </row>
    <row r="629" spans="1:8" x14ac:dyDescent="0.2">
      <c r="B629" s="135" t="s">
        <v>1113</v>
      </c>
      <c r="C629" s="135" t="s">
        <v>3</v>
      </c>
      <c r="D629" s="135"/>
      <c r="E629" s="135" t="s">
        <v>1114</v>
      </c>
      <c r="F629" s="135" t="s">
        <v>722</v>
      </c>
      <c r="G629" s="135"/>
      <c r="H629" s="131">
        <v>66</v>
      </c>
    </row>
    <row r="630" spans="1:8" x14ac:dyDescent="0.2">
      <c r="B630" s="135" t="s">
        <v>1386</v>
      </c>
      <c r="C630" s="135" t="s">
        <v>547</v>
      </c>
      <c r="D630" s="135">
        <v>40224</v>
      </c>
      <c r="E630" s="135" t="s">
        <v>1417</v>
      </c>
      <c r="F630" s="135" t="s">
        <v>722</v>
      </c>
      <c r="G630" s="135" t="s">
        <v>1435</v>
      </c>
      <c r="H630" s="131">
        <v>46.43</v>
      </c>
    </row>
    <row r="631" spans="1:8" x14ac:dyDescent="0.2">
      <c r="B631" s="135" t="s">
        <v>1302</v>
      </c>
      <c r="C631" s="135" t="s">
        <v>3</v>
      </c>
      <c r="D631" s="135"/>
      <c r="E631" s="135" t="s">
        <v>1204</v>
      </c>
      <c r="F631" s="135" t="s">
        <v>722</v>
      </c>
      <c r="G631" s="135"/>
      <c r="H631" s="131">
        <v>27.2</v>
      </c>
    </row>
    <row r="632" spans="1:8" x14ac:dyDescent="0.2">
      <c r="B632" s="135" t="s">
        <v>1369</v>
      </c>
      <c r="C632" s="135" t="s">
        <v>547</v>
      </c>
      <c r="D632" s="135">
        <v>43024</v>
      </c>
      <c r="E632" s="135" t="s">
        <v>1432</v>
      </c>
      <c r="F632" s="135" t="s">
        <v>722</v>
      </c>
      <c r="G632" s="135" t="s">
        <v>1436</v>
      </c>
      <c r="H632" s="131">
        <v>2.11</v>
      </c>
    </row>
    <row r="633" spans="1:8" x14ac:dyDescent="0.2">
      <c r="B633" s="135" t="s">
        <v>2357</v>
      </c>
      <c r="C633" s="135" t="s">
        <v>547</v>
      </c>
      <c r="D633" s="135">
        <v>100324</v>
      </c>
      <c r="E633" s="135" t="s">
        <v>1432</v>
      </c>
      <c r="F633" s="135" t="s">
        <v>722</v>
      </c>
      <c r="G633" s="135" t="s">
        <v>2445</v>
      </c>
      <c r="H633" s="131">
        <v>364</v>
      </c>
    </row>
    <row r="634" spans="1:8" x14ac:dyDescent="0.2">
      <c r="B634" s="135" t="s">
        <v>2434</v>
      </c>
      <c r="C634" s="135" t="s">
        <v>547</v>
      </c>
      <c r="D634" s="135">
        <v>100924</v>
      </c>
      <c r="E634" s="135" t="s">
        <v>2446</v>
      </c>
      <c r="F634" s="135" t="s">
        <v>722</v>
      </c>
      <c r="G634" s="135" t="s">
        <v>2447</v>
      </c>
      <c r="H634" s="131">
        <v>18.399999999999999</v>
      </c>
    </row>
    <row r="635" spans="1:8" x14ac:dyDescent="0.2">
      <c r="A635" s="129" t="s">
        <v>1115</v>
      </c>
      <c r="H635" s="132">
        <v>524.14</v>
      </c>
    </row>
    <row r="636" spans="1:8" x14ac:dyDescent="0.2">
      <c r="A636" s="129" t="s">
        <v>578</v>
      </c>
    </row>
    <row r="637" spans="1:8" x14ac:dyDescent="0.2">
      <c r="B637" s="135" t="s">
        <v>821</v>
      </c>
      <c r="C637" s="135" t="s">
        <v>339</v>
      </c>
      <c r="D637" s="135" t="s">
        <v>1533</v>
      </c>
      <c r="E637" s="135"/>
      <c r="F637" s="135" t="s">
        <v>722</v>
      </c>
      <c r="G637" s="135" t="s">
        <v>1569</v>
      </c>
      <c r="H637" s="131">
        <v>-0.4</v>
      </c>
    </row>
    <row r="638" spans="1:8" x14ac:dyDescent="0.2">
      <c r="B638" s="135" t="s">
        <v>897</v>
      </c>
      <c r="C638" s="135" t="s">
        <v>3</v>
      </c>
      <c r="D638" s="135" t="s">
        <v>789</v>
      </c>
      <c r="E638" s="135" t="s">
        <v>156</v>
      </c>
      <c r="F638" s="135" t="s">
        <v>722</v>
      </c>
      <c r="G638" s="135"/>
      <c r="H638" s="131">
        <v>50</v>
      </c>
    </row>
    <row r="639" spans="1:8" x14ac:dyDescent="0.2">
      <c r="B639" s="135" t="s">
        <v>1030</v>
      </c>
      <c r="C639" s="135" t="s">
        <v>3</v>
      </c>
      <c r="D639" s="135"/>
      <c r="E639" s="135" t="s">
        <v>156</v>
      </c>
      <c r="F639" s="135" t="s">
        <v>722</v>
      </c>
      <c r="G639" s="135"/>
      <c r="H639" s="131">
        <v>50</v>
      </c>
    </row>
    <row r="640" spans="1:8" x14ac:dyDescent="0.2">
      <c r="B640" s="135" t="s">
        <v>1161</v>
      </c>
      <c r="C640" s="135" t="s">
        <v>3</v>
      </c>
      <c r="D640" s="135"/>
      <c r="E640" s="135" t="s">
        <v>156</v>
      </c>
      <c r="F640" s="135" t="s">
        <v>722</v>
      </c>
      <c r="G640" s="135"/>
      <c r="H640" s="131">
        <v>50</v>
      </c>
    </row>
    <row r="641" spans="1:8" x14ac:dyDescent="0.2">
      <c r="B641" s="135" t="s">
        <v>1377</v>
      </c>
      <c r="C641" s="135" t="s">
        <v>3</v>
      </c>
      <c r="D641" s="135"/>
      <c r="E641" s="135" t="s">
        <v>156</v>
      </c>
      <c r="F641" s="135" t="s">
        <v>722</v>
      </c>
      <c r="G641" s="135"/>
      <c r="H641" s="131">
        <v>50</v>
      </c>
    </row>
    <row r="642" spans="1:8" x14ac:dyDescent="0.2">
      <c r="B642" s="135" t="s">
        <v>1542</v>
      </c>
      <c r="C642" s="135" t="s">
        <v>3</v>
      </c>
      <c r="D642" s="135"/>
      <c r="E642" s="135" t="s">
        <v>156</v>
      </c>
      <c r="F642" s="135" t="s">
        <v>722</v>
      </c>
      <c r="G642" s="135"/>
      <c r="H642" s="131">
        <v>50</v>
      </c>
    </row>
    <row r="643" spans="1:8" x14ac:dyDescent="0.2">
      <c r="B643" s="135" t="s">
        <v>1718</v>
      </c>
      <c r="C643" s="135" t="s">
        <v>3</v>
      </c>
      <c r="D643" s="135"/>
      <c r="E643" s="135" t="s">
        <v>156</v>
      </c>
      <c r="F643" s="135" t="s">
        <v>722</v>
      </c>
      <c r="G643" s="135"/>
      <c r="H643" s="131">
        <v>50</v>
      </c>
    </row>
    <row r="644" spans="1:8" x14ac:dyDescent="0.2">
      <c r="B644" s="135" t="s">
        <v>1908</v>
      </c>
      <c r="C644" s="135" t="s">
        <v>3</v>
      </c>
      <c r="D644" s="135"/>
      <c r="E644" s="135" t="s">
        <v>156</v>
      </c>
      <c r="F644" s="135" t="s">
        <v>722</v>
      </c>
      <c r="G644" s="135"/>
      <c r="H644" s="131">
        <v>50</v>
      </c>
    </row>
    <row r="645" spans="1:8" x14ac:dyDescent="0.2">
      <c r="B645" s="135" t="s">
        <v>2113</v>
      </c>
      <c r="C645" s="135" t="s">
        <v>3</v>
      </c>
      <c r="D645" s="135"/>
      <c r="E645" s="135" t="s">
        <v>156</v>
      </c>
      <c r="F645" s="135" t="s">
        <v>722</v>
      </c>
      <c r="G645" s="135"/>
      <c r="H645" s="131">
        <v>50</v>
      </c>
    </row>
    <row r="646" spans="1:8" x14ac:dyDescent="0.2">
      <c r="B646" s="135" t="s">
        <v>2113</v>
      </c>
      <c r="C646" s="135" t="s">
        <v>3</v>
      </c>
      <c r="D646" s="135"/>
      <c r="E646" s="135" t="s">
        <v>156</v>
      </c>
      <c r="F646" s="135" t="s">
        <v>722</v>
      </c>
      <c r="G646" s="135"/>
      <c r="H646" s="131">
        <v>1.75</v>
      </c>
    </row>
    <row r="647" spans="1:8" x14ac:dyDescent="0.2">
      <c r="B647" s="135" t="s">
        <v>2254</v>
      </c>
      <c r="C647" s="135" t="s">
        <v>3</v>
      </c>
      <c r="D647" s="135"/>
      <c r="E647" s="135" t="s">
        <v>156</v>
      </c>
      <c r="F647" s="135" t="s">
        <v>722</v>
      </c>
      <c r="G647" s="135"/>
      <c r="H647" s="131">
        <v>50</v>
      </c>
    </row>
    <row r="648" spans="1:8" x14ac:dyDescent="0.2">
      <c r="B648" s="135" t="s">
        <v>2382</v>
      </c>
      <c r="C648" s="135" t="s">
        <v>3</v>
      </c>
      <c r="D648" s="135"/>
      <c r="E648" s="135" t="s">
        <v>156</v>
      </c>
      <c r="F648" s="135" t="s">
        <v>722</v>
      </c>
      <c r="G648" s="135"/>
      <c r="H648" s="131">
        <v>50</v>
      </c>
    </row>
    <row r="649" spans="1:8" x14ac:dyDescent="0.2">
      <c r="B649" s="135" t="s">
        <v>2606</v>
      </c>
      <c r="C649" s="135" t="s">
        <v>3</v>
      </c>
      <c r="D649" s="135"/>
      <c r="E649" s="135" t="s">
        <v>1421</v>
      </c>
      <c r="F649" s="135" t="s">
        <v>722</v>
      </c>
      <c r="G649" s="135"/>
      <c r="H649" s="131">
        <v>50</v>
      </c>
    </row>
    <row r="650" spans="1:8" x14ac:dyDescent="0.2">
      <c r="B650" s="135" t="s">
        <v>2745</v>
      </c>
      <c r="C650" s="135" t="s">
        <v>3</v>
      </c>
      <c r="D650" s="135"/>
      <c r="E650" s="135" t="s">
        <v>156</v>
      </c>
      <c r="F650" s="135" t="s">
        <v>722</v>
      </c>
      <c r="G650" s="135"/>
      <c r="H650" s="131">
        <v>50</v>
      </c>
    </row>
    <row r="651" spans="1:8" x14ac:dyDescent="0.2">
      <c r="A651" s="129" t="s">
        <v>579</v>
      </c>
      <c r="H651" s="132">
        <v>601.35</v>
      </c>
    </row>
    <row r="652" spans="1:8" x14ac:dyDescent="0.2">
      <c r="A652" s="129" t="s">
        <v>374</v>
      </c>
    </row>
    <row r="653" spans="1:8" x14ac:dyDescent="0.2">
      <c r="B653" s="135" t="s">
        <v>898</v>
      </c>
      <c r="C653" s="135" t="s">
        <v>3</v>
      </c>
      <c r="D653" s="135"/>
      <c r="E653" s="135" t="s">
        <v>153</v>
      </c>
      <c r="F653" s="135" t="s">
        <v>722</v>
      </c>
      <c r="G653" s="135"/>
      <c r="H653" s="131">
        <v>349.99</v>
      </c>
    </row>
    <row r="654" spans="1:8" x14ac:dyDescent="0.2">
      <c r="B654" s="135" t="s">
        <v>899</v>
      </c>
      <c r="C654" s="135" t="s">
        <v>3</v>
      </c>
      <c r="D654" s="135"/>
      <c r="E654" s="135" t="s">
        <v>686</v>
      </c>
      <c r="F654" s="135" t="s">
        <v>722</v>
      </c>
      <c r="G654" s="135" t="s">
        <v>752</v>
      </c>
      <c r="H654" s="131">
        <v>19.989999999999998</v>
      </c>
    </row>
    <row r="655" spans="1:8" x14ac:dyDescent="0.2">
      <c r="B655" s="135" t="s">
        <v>824</v>
      </c>
      <c r="C655" s="135" t="s">
        <v>339</v>
      </c>
      <c r="D655" s="135" t="s">
        <v>837</v>
      </c>
      <c r="E655" s="135"/>
      <c r="F655" s="135" t="s">
        <v>722</v>
      </c>
      <c r="G655" s="135" t="s">
        <v>548</v>
      </c>
      <c r="H655" s="131">
        <v>7.8</v>
      </c>
    </row>
    <row r="656" spans="1:8" x14ac:dyDescent="0.2">
      <c r="B656" s="135" t="s">
        <v>1029</v>
      </c>
      <c r="C656" s="135" t="s">
        <v>3</v>
      </c>
      <c r="D656" s="135"/>
      <c r="E656" s="135" t="s">
        <v>153</v>
      </c>
      <c r="F656" s="135" t="s">
        <v>722</v>
      </c>
      <c r="G656" s="135"/>
      <c r="H656" s="131">
        <v>349.99</v>
      </c>
    </row>
    <row r="657" spans="2:8" x14ac:dyDescent="0.2">
      <c r="B657" s="135" t="s">
        <v>1030</v>
      </c>
      <c r="C657" s="135" t="s">
        <v>3</v>
      </c>
      <c r="D657" s="135"/>
      <c r="E657" s="135" t="s">
        <v>686</v>
      </c>
      <c r="F657" s="135" t="s">
        <v>722</v>
      </c>
      <c r="G657" s="135" t="s">
        <v>752</v>
      </c>
      <c r="H657" s="131">
        <v>19.989999999999998</v>
      </c>
    </row>
    <row r="658" spans="2:8" x14ac:dyDescent="0.2">
      <c r="B658" s="135" t="s">
        <v>972</v>
      </c>
      <c r="C658" s="135" t="s">
        <v>339</v>
      </c>
      <c r="D658" s="135" t="s">
        <v>1031</v>
      </c>
      <c r="E658" s="135"/>
      <c r="F658" s="135" t="s">
        <v>722</v>
      </c>
      <c r="G658" s="135" t="s">
        <v>548</v>
      </c>
      <c r="H658" s="131">
        <v>7.8</v>
      </c>
    </row>
    <row r="659" spans="2:8" x14ac:dyDescent="0.2">
      <c r="B659" s="135" t="s">
        <v>1197</v>
      </c>
      <c r="C659" s="135" t="s">
        <v>3</v>
      </c>
      <c r="D659" s="135"/>
      <c r="E659" s="135" t="s">
        <v>153</v>
      </c>
      <c r="F659" s="135" t="s">
        <v>722</v>
      </c>
      <c r="G659" s="135"/>
      <c r="H659" s="131">
        <v>349.99</v>
      </c>
    </row>
    <row r="660" spans="2:8" x14ac:dyDescent="0.2">
      <c r="B660" s="135" t="s">
        <v>1244</v>
      </c>
      <c r="C660" s="135" t="s">
        <v>3</v>
      </c>
      <c r="D660" s="135"/>
      <c r="E660" s="135" t="s">
        <v>1245</v>
      </c>
      <c r="F660" s="135" t="s">
        <v>722</v>
      </c>
      <c r="G660" s="135"/>
      <c r="H660" s="131">
        <v>159.9</v>
      </c>
    </row>
    <row r="661" spans="2:8" x14ac:dyDescent="0.2">
      <c r="B661" s="135" t="s">
        <v>1149</v>
      </c>
      <c r="C661" s="135" t="s">
        <v>3</v>
      </c>
      <c r="D661" s="135"/>
      <c r="E661" s="135" t="s">
        <v>686</v>
      </c>
      <c r="F661" s="135" t="s">
        <v>722</v>
      </c>
      <c r="G661" s="135" t="s">
        <v>752</v>
      </c>
      <c r="H661" s="131">
        <v>19.989999999999998</v>
      </c>
    </row>
    <row r="662" spans="2:8" x14ac:dyDescent="0.2">
      <c r="B662" s="135" t="s">
        <v>1168</v>
      </c>
      <c r="C662" s="135" t="s">
        <v>339</v>
      </c>
      <c r="D662" s="135" t="s">
        <v>1193</v>
      </c>
      <c r="E662" s="135"/>
      <c r="F662" s="135" t="s">
        <v>722</v>
      </c>
      <c r="G662" s="135" t="s">
        <v>548</v>
      </c>
      <c r="H662" s="131">
        <v>7.8</v>
      </c>
    </row>
    <row r="663" spans="2:8" x14ac:dyDescent="0.2">
      <c r="B663" s="135" t="s">
        <v>1386</v>
      </c>
      <c r="C663" s="135" t="s">
        <v>3</v>
      </c>
      <c r="D663" s="135"/>
      <c r="E663" s="135" t="s">
        <v>153</v>
      </c>
      <c r="F663" s="135" t="s">
        <v>722</v>
      </c>
      <c r="G663" s="135"/>
      <c r="H663" s="131">
        <v>349.99</v>
      </c>
    </row>
    <row r="664" spans="2:8" x14ac:dyDescent="0.2">
      <c r="B664" s="135" t="s">
        <v>1422</v>
      </c>
      <c r="C664" s="135" t="s">
        <v>3</v>
      </c>
      <c r="D664" s="135"/>
      <c r="E664" s="135" t="s">
        <v>686</v>
      </c>
      <c r="F664" s="135" t="s">
        <v>722</v>
      </c>
      <c r="G664" s="135" t="s">
        <v>752</v>
      </c>
      <c r="H664" s="131">
        <v>19.989999999999998</v>
      </c>
    </row>
    <row r="665" spans="2:8" x14ac:dyDescent="0.2">
      <c r="B665" s="135" t="s">
        <v>1369</v>
      </c>
      <c r="C665" s="135" t="s">
        <v>339</v>
      </c>
      <c r="D665" s="135" t="s">
        <v>1372</v>
      </c>
      <c r="E665" s="135"/>
      <c r="F665" s="135" t="s">
        <v>722</v>
      </c>
      <c r="G665" s="135" t="s">
        <v>548</v>
      </c>
      <c r="H665" s="131">
        <v>7.8</v>
      </c>
    </row>
    <row r="666" spans="2:8" x14ac:dyDescent="0.2">
      <c r="B666" s="135" t="s">
        <v>1591</v>
      </c>
      <c r="C666" s="135" t="s">
        <v>3</v>
      </c>
      <c r="D666" s="135"/>
      <c r="E666" s="135" t="s">
        <v>153</v>
      </c>
      <c r="F666" s="135" t="s">
        <v>722</v>
      </c>
      <c r="G666" s="135"/>
      <c r="H666" s="131">
        <v>349.99</v>
      </c>
    </row>
    <row r="667" spans="2:8" x14ac:dyDescent="0.2">
      <c r="B667" s="135" t="s">
        <v>1592</v>
      </c>
      <c r="C667" s="135" t="s">
        <v>3</v>
      </c>
      <c r="D667" s="135"/>
      <c r="E667" s="135" t="s">
        <v>686</v>
      </c>
      <c r="F667" s="135" t="s">
        <v>722</v>
      </c>
      <c r="G667" s="135" t="s">
        <v>752</v>
      </c>
      <c r="H667" s="131">
        <v>19.989999999999998</v>
      </c>
    </row>
    <row r="668" spans="2:8" x14ac:dyDescent="0.2">
      <c r="B668" s="135" t="s">
        <v>1971</v>
      </c>
      <c r="C668" s="135" t="s">
        <v>3</v>
      </c>
      <c r="D668" s="135"/>
      <c r="E668" s="135" t="s">
        <v>686</v>
      </c>
      <c r="F668" s="135" t="s">
        <v>722</v>
      </c>
      <c r="G668" s="135" t="s">
        <v>752</v>
      </c>
      <c r="H668" s="131">
        <v>25.91</v>
      </c>
    </row>
    <row r="669" spans="2:8" x14ac:dyDescent="0.2">
      <c r="B669" s="135" t="s">
        <v>1548</v>
      </c>
      <c r="C669" s="135" t="s">
        <v>339</v>
      </c>
      <c r="D669" s="135" t="s">
        <v>1552</v>
      </c>
      <c r="E669" s="135"/>
      <c r="F669" s="135" t="s">
        <v>722</v>
      </c>
      <c r="G669" s="135" t="s">
        <v>548</v>
      </c>
      <c r="H669" s="131">
        <v>7.8</v>
      </c>
    </row>
    <row r="670" spans="2:8" x14ac:dyDescent="0.2">
      <c r="B670" s="135" t="s">
        <v>1664</v>
      </c>
      <c r="C670" s="135" t="s">
        <v>3</v>
      </c>
      <c r="D670" s="135"/>
      <c r="E670" s="135" t="s">
        <v>153</v>
      </c>
      <c r="F670" s="135" t="s">
        <v>722</v>
      </c>
      <c r="G670" s="135"/>
      <c r="H670" s="131">
        <v>349.99</v>
      </c>
    </row>
    <row r="671" spans="2:8" x14ac:dyDescent="0.2">
      <c r="B671" s="135" t="s">
        <v>1720</v>
      </c>
      <c r="C671" s="135" t="s">
        <v>547</v>
      </c>
      <c r="D671" s="135">
        <v>60424</v>
      </c>
      <c r="E671" s="135" t="s">
        <v>1721</v>
      </c>
      <c r="F671" s="135" t="s">
        <v>722</v>
      </c>
      <c r="G671" s="135" t="s">
        <v>1722</v>
      </c>
      <c r="H671" s="131">
        <v>120</v>
      </c>
    </row>
    <row r="672" spans="2:8" x14ac:dyDescent="0.2">
      <c r="B672" s="135" t="s">
        <v>1608</v>
      </c>
      <c r="C672" s="135" t="s">
        <v>3</v>
      </c>
      <c r="D672" s="135"/>
      <c r="E672" s="135" t="s">
        <v>686</v>
      </c>
      <c r="F672" s="135" t="s">
        <v>722</v>
      </c>
      <c r="G672" s="135" t="s">
        <v>752</v>
      </c>
      <c r="H672" s="131">
        <v>19.989999999999998</v>
      </c>
    </row>
    <row r="673" spans="2:8" x14ac:dyDescent="0.2">
      <c r="B673" s="135" t="s">
        <v>1891</v>
      </c>
      <c r="C673" s="135" t="s">
        <v>3</v>
      </c>
      <c r="D673" s="135"/>
      <c r="E673" s="135" t="s">
        <v>686</v>
      </c>
      <c r="F673" s="135" t="s">
        <v>722</v>
      </c>
      <c r="G673" s="135" t="s">
        <v>752</v>
      </c>
      <c r="H673" s="131">
        <v>25.91</v>
      </c>
    </row>
    <row r="674" spans="2:8" x14ac:dyDescent="0.2">
      <c r="B674" s="135" t="s">
        <v>1624</v>
      </c>
      <c r="C674" s="135" t="s">
        <v>339</v>
      </c>
      <c r="D674" s="135" t="s">
        <v>1663</v>
      </c>
      <c r="E674" s="135"/>
      <c r="F674" s="135" t="s">
        <v>722</v>
      </c>
      <c r="G674" s="135" t="s">
        <v>548</v>
      </c>
      <c r="H674" s="131">
        <v>7.8</v>
      </c>
    </row>
    <row r="675" spans="2:8" x14ac:dyDescent="0.2">
      <c r="B675" s="135" t="s">
        <v>1788</v>
      </c>
      <c r="C675" s="135" t="s">
        <v>3</v>
      </c>
      <c r="D675" s="135"/>
      <c r="E675" s="135" t="s">
        <v>153</v>
      </c>
      <c r="F675" s="135" t="s">
        <v>722</v>
      </c>
      <c r="G675" s="135"/>
      <c r="H675" s="131">
        <v>349.99</v>
      </c>
    </row>
    <row r="676" spans="2:8" x14ac:dyDescent="0.2">
      <c r="B676" s="135" t="s">
        <v>1997</v>
      </c>
      <c r="C676" s="135" t="s">
        <v>3</v>
      </c>
      <c r="D676" s="135"/>
      <c r="E676" s="135" t="s">
        <v>2012</v>
      </c>
      <c r="F676" s="135" t="s">
        <v>722</v>
      </c>
      <c r="G676" s="135"/>
      <c r="H676" s="131">
        <v>55</v>
      </c>
    </row>
    <row r="677" spans="2:8" x14ac:dyDescent="0.2">
      <c r="B677" s="135" t="s">
        <v>1835</v>
      </c>
      <c r="C677" s="135" t="s">
        <v>547</v>
      </c>
      <c r="D677" s="135">
        <v>72924</v>
      </c>
      <c r="E677" s="135" t="s">
        <v>485</v>
      </c>
      <c r="F677" s="135" t="s">
        <v>722</v>
      </c>
      <c r="G677" s="135"/>
      <c r="H677" s="131">
        <v>71.22</v>
      </c>
    </row>
    <row r="678" spans="2:8" x14ac:dyDescent="0.2">
      <c r="B678" s="135" t="s">
        <v>1830</v>
      </c>
      <c r="C678" s="135" t="s">
        <v>339</v>
      </c>
      <c r="D678" s="135" t="s">
        <v>1897</v>
      </c>
      <c r="E678" s="135"/>
      <c r="F678" s="135" t="s">
        <v>722</v>
      </c>
      <c r="G678" s="135" t="s">
        <v>548</v>
      </c>
      <c r="H678" s="131">
        <v>7.8</v>
      </c>
    </row>
    <row r="679" spans="2:8" x14ac:dyDescent="0.2">
      <c r="B679" s="135" t="s">
        <v>2097</v>
      </c>
      <c r="C679" s="135" t="s">
        <v>3</v>
      </c>
      <c r="D679" s="135"/>
      <c r="E679" s="135" t="s">
        <v>153</v>
      </c>
      <c r="F679" s="135" t="s">
        <v>722</v>
      </c>
      <c r="G679" s="135"/>
      <c r="H679" s="131">
        <v>349.99</v>
      </c>
    </row>
    <row r="680" spans="2:8" x14ac:dyDescent="0.2">
      <c r="B680" s="135" t="s">
        <v>2120</v>
      </c>
      <c r="C680" s="135" t="s">
        <v>3</v>
      </c>
      <c r="D680" s="135"/>
      <c r="E680" s="135" t="s">
        <v>686</v>
      </c>
      <c r="F680" s="135" t="s">
        <v>722</v>
      </c>
      <c r="G680" s="135" t="s">
        <v>752</v>
      </c>
      <c r="H680" s="131">
        <v>19.989999999999998</v>
      </c>
    </row>
    <row r="681" spans="2:8" x14ac:dyDescent="0.2">
      <c r="B681" s="135" t="s">
        <v>2081</v>
      </c>
      <c r="C681" s="135" t="s">
        <v>339</v>
      </c>
      <c r="D681" s="135" t="s">
        <v>2114</v>
      </c>
      <c r="E681" s="135"/>
      <c r="F681" s="135" t="s">
        <v>722</v>
      </c>
      <c r="G681" s="135" t="s">
        <v>548</v>
      </c>
      <c r="H681" s="131">
        <v>7.8</v>
      </c>
    </row>
    <row r="682" spans="2:8" x14ac:dyDescent="0.2">
      <c r="B682" s="135" t="s">
        <v>2265</v>
      </c>
      <c r="C682" s="135" t="s">
        <v>3</v>
      </c>
      <c r="D682" s="135"/>
      <c r="E682" s="135" t="s">
        <v>153</v>
      </c>
      <c r="F682" s="135" t="s">
        <v>722</v>
      </c>
      <c r="G682" s="135"/>
      <c r="H682" s="131">
        <v>349.99</v>
      </c>
    </row>
    <row r="683" spans="2:8" x14ac:dyDescent="0.2">
      <c r="B683" s="135" t="s">
        <v>2240</v>
      </c>
      <c r="C683" s="135" t="s">
        <v>339</v>
      </c>
      <c r="D683" s="135" t="s">
        <v>2307</v>
      </c>
      <c r="E683" s="135"/>
      <c r="F683" s="135" t="s">
        <v>722</v>
      </c>
      <c r="G683" s="135" t="s">
        <v>2308</v>
      </c>
      <c r="H683" s="131">
        <v>-71.22</v>
      </c>
    </row>
    <row r="684" spans="2:8" x14ac:dyDescent="0.2">
      <c r="B684" s="135" t="s">
        <v>2240</v>
      </c>
      <c r="C684" s="135" t="s">
        <v>339</v>
      </c>
      <c r="D684" s="135" t="s">
        <v>2264</v>
      </c>
      <c r="E684" s="135"/>
      <c r="F684" s="135" t="s">
        <v>722</v>
      </c>
      <c r="G684" s="135" t="s">
        <v>548</v>
      </c>
      <c r="H684" s="131">
        <v>7.8</v>
      </c>
    </row>
    <row r="685" spans="2:8" x14ac:dyDescent="0.2">
      <c r="B685" s="135" t="s">
        <v>2382</v>
      </c>
      <c r="C685" s="135" t="s">
        <v>3</v>
      </c>
      <c r="D685" s="135"/>
      <c r="E685" s="135" t="s">
        <v>153</v>
      </c>
      <c r="F685" s="135" t="s">
        <v>722</v>
      </c>
      <c r="G685" s="135"/>
      <c r="H685" s="131">
        <v>349.99</v>
      </c>
    </row>
    <row r="686" spans="2:8" x14ac:dyDescent="0.2">
      <c r="B686" s="135" t="s">
        <v>2370</v>
      </c>
      <c r="C686" s="135" t="s">
        <v>339</v>
      </c>
      <c r="D686" s="135" t="s">
        <v>2383</v>
      </c>
      <c r="E686" s="135"/>
      <c r="F686" s="135" t="s">
        <v>722</v>
      </c>
      <c r="G686" s="135" t="s">
        <v>548</v>
      </c>
      <c r="H686" s="131">
        <v>7.8</v>
      </c>
    </row>
    <row r="687" spans="2:8" x14ac:dyDescent="0.2">
      <c r="B687" s="135" t="s">
        <v>2606</v>
      </c>
      <c r="C687" s="135" t="s">
        <v>3</v>
      </c>
      <c r="D687" s="135"/>
      <c r="E687" s="135" t="s">
        <v>153</v>
      </c>
      <c r="F687" s="135" t="s">
        <v>722</v>
      </c>
      <c r="G687" s="135"/>
      <c r="H687" s="131">
        <v>349.99</v>
      </c>
    </row>
    <row r="688" spans="2:8" x14ac:dyDescent="0.2">
      <c r="B688" s="135" t="s">
        <v>2569</v>
      </c>
      <c r="C688" s="135" t="s">
        <v>3</v>
      </c>
      <c r="D688" s="135"/>
      <c r="E688" s="135" t="s">
        <v>686</v>
      </c>
      <c r="F688" s="135" t="s">
        <v>722</v>
      </c>
      <c r="G688" s="135" t="s">
        <v>2389</v>
      </c>
      <c r="H688" s="131">
        <v>19.989999999999998</v>
      </c>
    </row>
    <row r="689" spans="1:8" x14ac:dyDescent="0.2">
      <c r="B689" s="135" t="s">
        <v>2548</v>
      </c>
      <c r="C689" s="135" t="s">
        <v>339</v>
      </c>
      <c r="D689" s="135" t="s">
        <v>2580</v>
      </c>
      <c r="E689" s="135"/>
      <c r="F689" s="135" t="s">
        <v>722</v>
      </c>
      <c r="G689" s="135" t="s">
        <v>548</v>
      </c>
      <c r="H689" s="131">
        <v>7.8</v>
      </c>
    </row>
    <row r="690" spans="1:8" x14ac:dyDescent="0.2">
      <c r="B690" s="135" t="s">
        <v>2794</v>
      </c>
      <c r="C690" s="135" t="s">
        <v>3</v>
      </c>
      <c r="D690" s="135"/>
      <c r="E690" s="135" t="s">
        <v>153</v>
      </c>
      <c r="F690" s="135" t="s">
        <v>722</v>
      </c>
      <c r="G690" s="135"/>
      <c r="H690" s="131">
        <v>349.99</v>
      </c>
    </row>
    <row r="691" spans="1:8" x14ac:dyDescent="0.2">
      <c r="B691" s="135" t="s">
        <v>2745</v>
      </c>
      <c r="C691" s="135" t="s">
        <v>547</v>
      </c>
      <c r="D691" s="135">
        <v>121124</v>
      </c>
      <c r="E691" s="135" t="s">
        <v>485</v>
      </c>
      <c r="F691" s="135" t="s">
        <v>722</v>
      </c>
      <c r="G691" s="135" t="s">
        <v>2800</v>
      </c>
      <c r="H691" s="131">
        <v>29.99</v>
      </c>
    </row>
    <row r="692" spans="1:8" x14ac:dyDescent="0.2">
      <c r="B692" s="135" t="s">
        <v>2782</v>
      </c>
      <c r="C692" s="135" t="s">
        <v>547</v>
      </c>
      <c r="D692" s="135">
        <v>123024</v>
      </c>
      <c r="E692" s="135" t="s">
        <v>485</v>
      </c>
      <c r="F692" s="135" t="s">
        <v>722</v>
      </c>
      <c r="G692" s="135" t="s">
        <v>2801</v>
      </c>
      <c r="H692" s="131">
        <v>60</v>
      </c>
    </row>
    <row r="693" spans="1:8" x14ac:dyDescent="0.2">
      <c r="B693" s="135" t="s">
        <v>2741</v>
      </c>
      <c r="C693" s="135" t="s">
        <v>339</v>
      </c>
      <c r="D693" s="135" t="s">
        <v>2762</v>
      </c>
      <c r="E693" s="135"/>
      <c r="F693" s="135" t="s">
        <v>722</v>
      </c>
      <c r="G693" s="135" t="s">
        <v>548</v>
      </c>
      <c r="H693" s="131">
        <v>7.8</v>
      </c>
    </row>
    <row r="694" spans="1:8" x14ac:dyDescent="0.2">
      <c r="A694" s="129" t="s">
        <v>375</v>
      </c>
      <c r="H694" s="132">
        <v>4930.1099999999997</v>
      </c>
    </row>
    <row r="695" spans="1:8" x14ac:dyDescent="0.2">
      <c r="A695" s="129" t="s">
        <v>2802</v>
      </c>
    </row>
    <row r="696" spans="1:8" x14ac:dyDescent="0.2">
      <c r="B696" s="135" t="s">
        <v>2782</v>
      </c>
      <c r="C696" s="135" t="s">
        <v>547</v>
      </c>
      <c r="D696" s="135">
        <v>123024</v>
      </c>
      <c r="E696" s="135" t="s">
        <v>2803</v>
      </c>
      <c r="F696" s="135" t="s">
        <v>722</v>
      </c>
      <c r="G696" s="135" t="s">
        <v>2804</v>
      </c>
      <c r="H696" s="131">
        <v>1262.68</v>
      </c>
    </row>
    <row r="697" spans="1:8" x14ac:dyDescent="0.2">
      <c r="A697" s="129" t="s">
        <v>2805</v>
      </c>
      <c r="H697" s="132">
        <v>1262.68</v>
      </c>
    </row>
    <row r="698" spans="1:8" x14ac:dyDescent="0.2">
      <c r="A698" s="129" t="s">
        <v>2019</v>
      </c>
    </row>
    <row r="699" spans="1:8" x14ac:dyDescent="0.2">
      <c r="B699" s="135" t="s">
        <v>1793</v>
      </c>
      <c r="C699" s="135" t="s">
        <v>547</v>
      </c>
      <c r="D699" s="135">
        <v>70924</v>
      </c>
      <c r="E699" s="135" t="s">
        <v>485</v>
      </c>
      <c r="F699" s="135" t="s">
        <v>722</v>
      </c>
      <c r="G699" s="135" t="s">
        <v>2020</v>
      </c>
      <c r="H699" s="131">
        <v>300</v>
      </c>
    </row>
    <row r="700" spans="1:8" x14ac:dyDescent="0.2">
      <c r="B700" s="135" t="s">
        <v>1835</v>
      </c>
      <c r="C700" s="135" t="s">
        <v>547</v>
      </c>
      <c r="D700" s="135">
        <v>72924</v>
      </c>
      <c r="E700" s="135" t="s">
        <v>485</v>
      </c>
      <c r="F700" s="135" t="s">
        <v>722</v>
      </c>
      <c r="G700" s="135" t="s">
        <v>2020</v>
      </c>
      <c r="H700" s="131">
        <v>300</v>
      </c>
    </row>
    <row r="701" spans="1:8" x14ac:dyDescent="0.2">
      <c r="B701" s="135" t="s">
        <v>2240</v>
      </c>
      <c r="C701" s="135" t="s">
        <v>339</v>
      </c>
      <c r="D701" s="135" t="s">
        <v>2307</v>
      </c>
      <c r="E701" s="135"/>
      <c r="F701" s="135" t="s">
        <v>722</v>
      </c>
      <c r="G701" s="135" t="s">
        <v>2308</v>
      </c>
      <c r="H701" s="131">
        <v>-300</v>
      </c>
    </row>
    <row r="702" spans="1:8" x14ac:dyDescent="0.2">
      <c r="A702" s="129" t="s">
        <v>2021</v>
      </c>
      <c r="H702" s="132">
        <v>300</v>
      </c>
    </row>
    <row r="703" spans="1:8" x14ac:dyDescent="0.2">
      <c r="A703" s="129" t="s">
        <v>1116</v>
      </c>
    </row>
    <row r="704" spans="1:8" x14ac:dyDescent="0.2">
      <c r="B704" s="135" t="s">
        <v>1038</v>
      </c>
      <c r="C704" s="135" t="s">
        <v>3</v>
      </c>
      <c r="D704" s="135"/>
      <c r="E704" s="135" t="s">
        <v>1117</v>
      </c>
      <c r="F704" s="135" t="s">
        <v>722</v>
      </c>
      <c r="G704" s="135" t="s">
        <v>1118</v>
      </c>
      <c r="H704" s="131">
        <v>6.47</v>
      </c>
    </row>
    <row r="705" spans="1:8" x14ac:dyDescent="0.2">
      <c r="B705" s="135" t="s">
        <v>1066</v>
      </c>
      <c r="C705" s="135" t="s">
        <v>547</v>
      </c>
      <c r="D705" s="135">
        <v>20624</v>
      </c>
      <c r="E705" s="135" t="s">
        <v>1119</v>
      </c>
      <c r="F705" s="135" t="s">
        <v>722</v>
      </c>
      <c r="G705" s="135" t="s">
        <v>1120</v>
      </c>
      <c r="H705" s="131">
        <v>45.33</v>
      </c>
    </row>
    <row r="706" spans="1:8" x14ac:dyDescent="0.2">
      <c r="B706" s="135" t="s">
        <v>954</v>
      </c>
      <c r="C706" s="135" t="s">
        <v>3</v>
      </c>
      <c r="D706" s="135"/>
      <c r="E706" s="135" t="s">
        <v>1117</v>
      </c>
      <c r="F706" s="135" t="s">
        <v>722</v>
      </c>
      <c r="G706" s="135" t="s">
        <v>1118</v>
      </c>
      <c r="H706" s="131">
        <v>7.55</v>
      </c>
    </row>
    <row r="707" spans="1:8" x14ac:dyDescent="0.2">
      <c r="B707" s="135" t="s">
        <v>1437</v>
      </c>
      <c r="C707" s="135" t="s">
        <v>3</v>
      </c>
      <c r="D707" s="135"/>
      <c r="E707" s="135" t="s">
        <v>1117</v>
      </c>
      <c r="F707" s="135" t="s">
        <v>722</v>
      </c>
      <c r="G707" s="135" t="s">
        <v>1118</v>
      </c>
      <c r="H707" s="131">
        <v>7.55</v>
      </c>
    </row>
    <row r="708" spans="1:8" x14ac:dyDescent="0.2">
      <c r="B708" s="135" t="s">
        <v>1312</v>
      </c>
      <c r="C708" s="135" t="s">
        <v>3</v>
      </c>
      <c r="D708" s="135"/>
      <c r="E708" s="135" t="s">
        <v>1117</v>
      </c>
      <c r="F708" s="135" t="s">
        <v>722</v>
      </c>
      <c r="G708" s="135" t="s">
        <v>1118</v>
      </c>
      <c r="H708" s="131">
        <v>7.55</v>
      </c>
    </row>
    <row r="709" spans="1:8" x14ac:dyDescent="0.2">
      <c r="B709" s="135" t="s">
        <v>2022</v>
      </c>
      <c r="C709" s="135" t="s">
        <v>3</v>
      </c>
      <c r="D709" s="135"/>
      <c r="E709" s="135" t="s">
        <v>1117</v>
      </c>
      <c r="F709" s="135" t="s">
        <v>722</v>
      </c>
      <c r="G709" s="135" t="s">
        <v>1118</v>
      </c>
      <c r="H709" s="131">
        <v>7.55</v>
      </c>
    </row>
    <row r="710" spans="1:8" x14ac:dyDescent="0.2">
      <c r="B710" s="135" t="s">
        <v>1789</v>
      </c>
      <c r="C710" s="135" t="s">
        <v>339</v>
      </c>
      <c r="D710" s="135" t="s">
        <v>2011</v>
      </c>
      <c r="E710" s="135"/>
      <c r="F710" s="135" t="s">
        <v>722</v>
      </c>
      <c r="G710" s="135"/>
      <c r="H710" s="131">
        <v>44.72</v>
      </c>
    </row>
    <row r="711" spans="1:8" x14ac:dyDescent="0.2">
      <c r="B711" s="135" t="s">
        <v>2204</v>
      </c>
      <c r="C711" s="135" t="s">
        <v>3</v>
      </c>
      <c r="D711" s="135"/>
      <c r="E711" s="135" t="s">
        <v>1117</v>
      </c>
      <c r="F711" s="135" t="s">
        <v>722</v>
      </c>
      <c r="G711" s="135" t="s">
        <v>1118</v>
      </c>
      <c r="H711" s="131">
        <v>7.55</v>
      </c>
    </row>
    <row r="712" spans="1:8" x14ac:dyDescent="0.2">
      <c r="B712" s="135" t="s">
        <v>2309</v>
      </c>
      <c r="C712" s="135" t="s">
        <v>3</v>
      </c>
      <c r="D712" s="135"/>
      <c r="E712" s="135" t="s">
        <v>2310</v>
      </c>
      <c r="F712" s="135" t="s">
        <v>722</v>
      </c>
      <c r="G712" s="135" t="s">
        <v>2311</v>
      </c>
      <c r="H712" s="131">
        <v>195.73</v>
      </c>
    </row>
    <row r="713" spans="1:8" x14ac:dyDescent="0.2">
      <c r="B713" s="135" t="s">
        <v>2780</v>
      </c>
      <c r="C713" s="135" t="s">
        <v>547</v>
      </c>
      <c r="D713" s="135">
        <v>120524</v>
      </c>
      <c r="E713" s="135" t="s">
        <v>2806</v>
      </c>
      <c r="F713" s="135" t="s">
        <v>722</v>
      </c>
      <c r="G713" s="135" t="s">
        <v>2807</v>
      </c>
      <c r="H713" s="131">
        <v>75.59</v>
      </c>
    </row>
    <row r="714" spans="1:8" x14ac:dyDescent="0.2">
      <c r="A714" s="129" t="s">
        <v>1121</v>
      </c>
      <c r="H714" s="132">
        <v>405.59</v>
      </c>
    </row>
    <row r="715" spans="1:8" x14ac:dyDescent="0.2">
      <c r="A715" s="129" t="s">
        <v>2448</v>
      </c>
    </row>
    <row r="716" spans="1:8" x14ac:dyDescent="0.2">
      <c r="B716" s="135" t="s">
        <v>2434</v>
      </c>
      <c r="C716" s="135" t="s">
        <v>3</v>
      </c>
      <c r="D716" s="135"/>
      <c r="E716" s="135" t="s">
        <v>2449</v>
      </c>
      <c r="F716" s="135" t="s">
        <v>722</v>
      </c>
      <c r="G716" s="135"/>
      <c r="H716" s="131">
        <v>100</v>
      </c>
    </row>
    <row r="717" spans="1:8" x14ac:dyDescent="0.2">
      <c r="B717" s="135" t="s">
        <v>2434</v>
      </c>
      <c r="C717" s="135" t="s">
        <v>3</v>
      </c>
      <c r="D717" s="135"/>
      <c r="E717" s="135" t="s">
        <v>2449</v>
      </c>
      <c r="F717" s="135" t="s">
        <v>722</v>
      </c>
      <c r="G717" s="135"/>
      <c r="H717" s="131">
        <v>100</v>
      </c>
    </row>
    <row r="718" spans="1:8" x14ac:dyDescent="0.2">
      <c r="A718" s="129" t="s">
        <v>2450</v>
      </c>
      <c r="H718" s="132">
        <v>200</v>
      </c>
    </row>
    <row r="719" spans="1:8" x14ac:dyDescent="0.2">
      <c r="A719" s="129" t="s">
        <v>608</v>
      </c>
    </row>
    <row r="720" spans="1:8" x14ac:dyDescent="0.2">
      <c r="B720" s="135" t="s">
        <v>900</v>
      </c>
      <c r="C720" s="135" t="s">
        <v>547</v>
      </c>
      <c r="D720" s="135">
        <v>12624</v>
      </c>
      <c r="E720" s="135" t="s">
        <v>749</v>
      </c>
      <c r="F720" s="135" t="s">
        <v>722</v>
      </c>
      <c r="G720" s="135" t="s">
        <v>901</v>
      </c>
      <c r="H720" s="131">
        <v>55</v>
      </c>
    </row>
    <row r="721" spans="1:8" x14ac:dyDescent="0.2">
      <c r="B721" s="135" t="s">
        <v>1197</v>
      </c>
      <c r="C721" s="135" t="s">
        <v>547</v>
      </c>
      <c r="D721" s="135">
        <v>30424</v>
      </c>
      <c r="E721" s="135" t="s">
        <v>749</v>
      </c>
      <c r="F721" s="135" t="s">
        <v>722</v>
      </c>
      <c r="G721" s="135" t="s">
        <v>1246</v>
      </c>
      <c r="H721" s="131">
        <v>55</v>
      </c>
    </row>
    <row r="722" spans="1:8" x14ac:dyDescent="0.2">
      <c r="B722" s="135" t="s">
        <v>1183</v>
      </c>
      <c r="C722" s="135" t="s">
        <v>547</v>
      </c>
      <c r="D722" s="135">
        <v>31224</v>
      </c>
      <c r="E722" s="135" t="s">
        <v>1236</v>
      </c>
      <c r="F722" s="135" t="s">
        <v>722</v>
      </c>
      <c r="G722" s="135" t="s">
        <v>1247</v>
      </c>
      <c r="H722" s="131">
        <v>150</v>
      </c>
    </row>
    <row r="723" spans="1:8" x14ac:dyDescent="0.2">
      <c r="B723" s="135" t="s">
        <v>1248</v>
      </c>
      <c r="C723" s="135" t="s">
        <v>547</v>
      </c>
      <c r="D723" s="135">
        <v>32524</v>
      </c>
      <c r="E723" s="135" t="s">
        <v>749</v>
      </c>
      <c r="F723" s="135" t="s">
        <v>722</v>
      </c>
      <c r="G723" s="135" t="s">
        <v>1249</v>
      </c>
      <c r="H723" s="131">
        <v>55</v>
      </c>
    </row>
    <row r="724" spans="1:8" x14ac:dyDescent="0.2">
      <c r="B724" s="135" t="s">
        <v>1369</v>
      </c>
      <c r="C724" s="135" t="s">
        <v>547</v>
      </c>
      <c r="D724" s="135">
        <v>43024</v>
      </c>
      <c r="E724" s="135" t="s">
        <v>749</v>
      </c>
      <c r="F724" s="135" t="s">
        <v>722</v>
      </c>
      <c r="G724" s="135" t="s">
        <v>1439</v>
      </c>
      <c r="H724" s="131">
        <v>55</v>
      </c>
    </row>
    <row r="725" spans="1:8" x14ac:dyDescent="0.2">
      <c r="B725" s="135" t="s">
        <v>1369</v>
      </c>
      <c r="C725" s="135" t="s">
        <v>547</v>
      </c>
      <c r="D725" s="135">
        <v>43024</v>
      </c>
      <c r="E725" s="135" t="s">
        <v>1432</v>
      </c>
      <c r="F725" s="135" t="s">
        <v>722</v>
      </c>
      <c r="G725" s="135" t="s">
        <v>1438</v>
      </c>
      <c r="H725" s="131">
        <v>126</v>
      </c>
    </row>
    <row r="726" spans="1:8" x14ac:dyDescent="0.2">
      <c r="B726" s="135" t="s">
        <v>1447</v>
      </c>
      <c r="C726" s="135" t="s">
        <v>547</v>
      </c>
      <c r="D726" s="135">
        <v>50124</v>
      </c>
      <c r="E726" s="135" t="s">
        <v>1236</v>
      </c>
      <c r="F726" s="135" t="s">
        <v>722</v>
      </c>
      <c r="G726" s="135" t="s">
        <v>1593</v>
      </c>
      <c r="H726" s="131">
        <v>150</v>
      </c>
    </row>
    <row r="727" spans="1:8" x14ac:dyDescent="0.2">
      <c r="B727" s="135" t="s">
        <v>1524</v>
      </c>
      <c r="C727" s="135" t="s">
        <v>547</v>
      </c>
      <c r="D727" s="135">
        <v>50824</v>
      </c>
      <c r="E727" s="135" t="s">
        <v>1583</v>
      </c>
      <c r="F727" s="135" t="s">
        <v>722</v>
      </c>
      <c r="G727" s="135" t="s">
        <v>1594</v>
      </c>
      <c r="H727" s="131">
        <v>200</v>
      </c>
    </row>
    <row r="728" spans="1:8" x14ac:dyDescent="0.2">
      <c r="B728" s="135" t="s">
        <v>1660</v>
      </c>
      <c r="C728" s="135" t="s">
        <v>547</v>
      </c>
      <c r="D728" s="135">
        <v>60324</v>
      </c>
      <c r="E728" s="135" t="s">
        <v>749</v>
      </c>
      <c r="F728" s="135" t="s">
        <v>722</v>
      </c>
      <c r="G728" s="135" t="s">
        <v>1723</v>
      </c>
      <c r="H728" s="131">
        <v>55</v>
      </c>
    </row>
    <row r="729" spans="1:8" x14ac:dyDescent="0.2">
      <c r="B729" s="135" t="s">
        <v>1711</v>
      </c>
      <c r="C729" s="135" t="s">
        <v>547</v>
      </c>
      <c r="D729" s="135">
        <v>62424</v>
      </c>
      <c r="E729" s="135" t="s">
        <v>1432</v>
      </c>
      <c r="F729" s="135" t="s">
        <v>722</v>
      </c>
      <c r="G729" s="135" t="s">
        <v>1724</v>
      </c>
      <c r="H729" s="131">
        <v>126</v>
      </c>
    </row>
    <row r="730" spans="1:8" x14ac:dyDescent="0.2">
      <c r="B730" s="135" t="s">
        <v>1711</v>
      </c>
      <c r="C730" s="135" t="s">
        <v>547</v>
      </c>
      <c r="D730" s="135">
        <v>62424</v>
      </c>
      <c r="E730" s="135" t="s">
        <v>749</v>
      </c>
      <c r="F730" s="135" t="s">
        <v>722</v>
      </c>
      <c r="G730" s="135" t="s">
        <v>1725</v>
      </c>
      <c r="H730" s="131">
        <v>55</v>
      </c>
    </row>
    <row r="731" spans="1:8" x14ac:dyDescent="0.2">
      <c r="B731" s="135" t="s">
        <v>2240</v>
      </c>
      <c r="C731" s="135" t="s">
        <v>547</v>
      </c>
      <c r="D731" s="135">
        <v>93024</v>
      </c>
      <c r="E731" s="135" t="s">
        <v>1583</v>
      </c>
      <c r="F731" s="135" t="s">
        <v>722</v>
      </c>
      <c r="G731" s="135" t="s">
        <v>2312</v>
      </c>
      <c r="H731" s="131">
        <v>250</v>
      </c>
    </row>
    <row r="732" spans="1:8" x14ac:dyDescent="0.2">
      <c r="B732" s="135" t="s">
        <v>2439</v>
      </c>
      <c r="C732" s="135" t="s">
        <v>547</v>
      </c>
      <c r="D732" s="135">
        <v>100224</v>
      </c>
      <c r="E732" s="135" t="s">
        <v>1236</v>
      </c>
      <c r="F732" s="135" t="s">
        <v>722</v>
      </c>
      <c r="G732" s="135" t="s">
        <v>2451</v>
      </c>
      <c r="H732" s="131">
        <v>150</v>
      </c>
    </row>
    <row r="733" spans="1:8" x14ac:dyDescent="0.2">
      <c r="B733" s="135" t="s">
        <v>2741</v>
      </c>
      <c r="C733" s="135" t="s">
        <v>547</v>
      </c>
      <c r="D733" s="135" t="s">
        <v>2797</v>
      </c>
      <c r="E733" s="135" t="s">
        <v>1432</v>
      </c>
      <c r="F733" s="135" t="s">
        <v>722</v>
      </c>
      <c r="G733" s="135" t="s">
        <v>2808</v>
      </c>
      <c r="H733" s="131">
        <v>126</v>
      </c>
    </row>
    <row r="734" spans="1:8" x14ac:dyDescent="0.2">
      <c r="A734" s="129" t="s">
        <v>609</v>
      </c>
      <c r="H734" s="132">
        <v>1608</v>
      </c>
    </row>
    <row r="735" spans="1:8" x14ac:dyDescent="0.2">
      <c r="A735" s="129" t="s">
        <v>610</v>
      </c>
    </row>
    <row r="736" spans="1:8" x14ac:dyDescent="0.2">
      <c r="B736" s="135" t="s">
        <v>824</v>
      </c>
      <c r="C736" s="135" t="s">
        <v>547</v>
      </c>
      <c r="D736" s="135" t="s">
        <v>615</v>
      </c>
      <c r="E736" s="135" t="s">
        <v>577</v>
      </c>
      <c r="F736" s="135" t="s">
        <v>722</v>
      </c>
      <c r="G736" s="135" t="s">
        <v>645</v>
      </c>
      <c r="H736" s="131">
        <v>175</v>
      </c>
    </row>
    <row r="737" spans="1:8" x14ac:dyDescent="0.2">
      <c r="B737" s="135" t="s">
        <v>972</v>
      </c>
      <c r="C737" s="135" t="s">
        <v>547</v>
      </c>
      <c r="D737" s="135" t="s">
        <v>615</v>
      </c>
      <c r="E737" s="135" t="s">
        <v>577</v>
      </c>
      <c r="F737" s="135" t="s">
        <v>722</v>
      </c>
      <c r="G737" s="135" t="s">
        <v>645</v>
      </c>
      <c r="H737" s="131">
        <v>175</v>
      </c>
    </row>
    <row r="738" spans="1:8" x14ac:dyDescent="0.2">
      <c r="B738" s="135" t="s">
        <v>1168</v>
      </c>
      <c r="C738" s="135" t="s">
        <v>547</v>
      </c>
      <c r="D738" s="135" t="s">
        <v>615</v>
      </c>
      <c r="E738" s="135" t="s">
        <v>577</v>
      </c>
      <c r="F738" s="135" t="s">
        <v>722</v>
      </c>
      <c r="G738" s="135" t="s">
        <v>645</v>
      </c>
      <c r="H738" s="131">
        <v>175</v>
      </c>
    </row>
    <row r="739" spans="1:8" x14ac:dyDescent="0.2">
      <c r="B739" s="135" t="s">
        <v>1369</v>
      </c>
      <c r="C739" s="135" t="s">
        <v>547</v>
      </c>
      <c r="D739" s="135" t="s">
        <v>615</v>
      </c>
      <c r="E739" s="135" t="s">
        <v>577</v>
      </c>
      <c r="F739" s="135" t="s">
        <v>722</v>
      </c>
      <c r="G739" s="135" t="s">
        <v>645</v>
      </c>
      <c r="H739" s="131">
        <v>175</v>
      </c>
    </row>
    <row r="740" spans="1:8" x14ac:dyDescent="0.2">
      <c r="B740" s="135" t="s">
        <v>1548</v>
      </c>
      <c r="C740" s="135" t="s">
        <v>547</v>
      </c>
      <c r="D740" s="135" t="s">
        <v>615</v>
      </c>
      <c r="E740" s="135" t="s">
        <v>577</v>
      </c>
      <c r="F740" s="135" t="s">
        <v>722</v>
      </c>
      <c r="G740" s="135" t="s">
        <v>645</v>
      </c>
      <c r="H740" s="131">
        <v>175</v>
      </c>
    </row>
    <row r="741" spans="1:8" x14ac:dyDescent="0.2">
      <c r="B741" s="135" t="s">
        <v>1624</v>
      </c>
      <c r="C741" s="135" t="s">
        <v>547</v>
      </c>
      <c r="D741" s="135" t="s">
        <v>615</v>
      </c>
      <c r="E741" s="135" t="s">
        <v>577</v>
      </c>
      <c r="F741" s="135" t="s">
        <v>722</v>
      </c>
      <c r="G741" s="135" t="s">
        <v>645</v>
      </c>
      <c r="H741" s="131">
        <v>175</v>
      </c>
    </row>
    <row r="742" spans="1:8" x14ac:dyDescent="0.2">
      <c r="B742" s="135" t="s">
        <v>1830</v>
      </c>
      <c r="C742" s="135" t="s">
        <v>547</v>
      </c>
      <c r="D742" s="135" t="s">
        <v>615</v>
      </c>
      <c r="E742" s="135" t="s">
        <v>577</v>
      </c>
      <c r="F742" s="135" t="s">
        <v>722</v>
      </c>
      <c r="G742" s="135" t="s">
        <v>645</v>
      </c>
      <c r="H742" s="131">
        <v>175</v>
      </c>
    </row>
    <row r="743" spans="1:8" x14ac:dyDescent="0.2">
      <c r="B743" s="135" t="s">
        <v>2081</v>
      </c>
      <c r="C743" s="135" t="s">
        <v>547</v>
      </c>
      <c r="D743" s="135" t="s">
        <v>615</v>
      </c>
      <c r="E743" s="135" t="s">
        <v>577</v>
      </c>
      <c r="F743" s="135" t="s">
        <v>722</v>
      </c>
      <c r="G743" s="135" t="s">
        <v>645</v>
      </c>
      <c r="H743" s="131">
        <v>175</v>
      </c>
    </row>
    <row r="744" spans="1:8" x14ac:dyDescent="0.2">
      <c r="B744" s="135" t="s">
        <v>2240</v>
      </c>
      <c r="C744" s="135" t="s">
        <v>547</v>
      </c>
      <c r="D744" s="135" t="s">
        <v>615</v>
      </c>
      <c r="E744" s="135" t="s">
        <v>577</v>
      </c>
      <c r="F744" s="135" t="s">
        <v>722</v>
      </c>
      <c r="G744" s="135" t="s">
        <v>645</v>
      </c>
      <c r="H744" s="131">
        <v>175</v>
      </c>
    </row>
    <row r="745" spans="1:8" x14ac:dyDescent="0.2">
      <c r="B745" s="135" t="s">
        <v>2370</v>
      </c>
      <c r="C745" s="135" t="s">
        <v>547</v>
      </c>
      <c r="D745" s="135" t="s">
        <v>615</v>
      </c>
      <c r="E745" s="135" t="s">
        <v>577</v>
      </c>
      <c r="F745" s="135" t="s">
        <v>722</v>
      </c>
      <c r="G745" s="135" t="s">
        <v>645</v>
      </c>
      <c r="H745" s="131">
        <v>175</v>
      </c>
    </row>
    <row r="746" spans="1:8" x14ac:dyDescent="0.2">
      <c r="B746" s="135" t="s">
        <v>2548</v>
      </c>
      <c r="C746" s="135" t="s">
        <v>547</v>
      </c>
      <c r="D746" s="135" t="s">
        <v>615</v>
      </c>
      <c r="E746" s="135" t="s">
        <v>577</v>
      </c>
      <c r="F746" s="135" t="s">
        <v>722</v>
      </c>
      <c r="G746" s="135" t="s">
        <v>645</v>
      </c>
      <c r="H746" s="131">
        <v>175</v>
      </c>
    </row>
    <row r="747" spans="1:8" x14ac:dyDescent="0.2">
      <c r="B747" s="135" t="s">
        <v>2741</v>
      </c>
      <c r="C747" s="135" t="s">
        <v>547</v>
      </c>
      <c r="D747" s="135" t="s">
        <v>615</v>
      </c>
      <c r="E747" s="135" t="s">
        <v>577</v>
      </c>
      <c r="F747" s="135" t="s">
        <v>722</v>
      </c>
      <c r="G747" s="135" t="s">
        <v>645</v>
      </c>
      <c r="H747" s="131">
        <v>175</v>
      </c>
    </row>
    <row r="748" spans="1:8" x14ac:dyDescent="0.2">
      <c r="A748" s="129" t="s">
        <v>611</v>
      </c>
      <c r="H748" s="132">
        <v>2100</v>
      </c>
    </row>
    <row r="749" spans="1:8" x14ac:dyDescent="0.2">
      <c r="A749" s="129" t="s">
        <v>2313</v>
      </c>
      <c r="H749" s="132">
        <v>12786.45</v>
      </c>
    </row>
    <row r="750" spans="1:8" x14ac:dyDescent="0.2">
      <c r="A750" s="129" t="s">
        <v>486</v>
      </c>
    </row>
    <row r="751" spans="1:8" x14ac:dyDescent="0.2">
      <c r="A751" s="129" t="s">
        <v>1122</v>
      </c>
    </row>
    <row r="752" spans="1:8" x14ac:dyDescent="0.2">
      <c r="B752" s="135" t="s">
        <v>1021</v>
      </c>
      <c r="C752" s="135" t="s">
        <v>102</v>
      </c>
      <c r="D752" s="135">
        <v>6007637</v>
      </c>
      <c r="E752" s="135" t="s">
        <v>1022</v>
      </c>
      <c r="F752" s="135" t="s">
        <v>722</v>
      </c>
      <c r="G752" s="135" t="s">
        <v>1124</v>
      </c>
      <c r="H752" s="131">
        <v>1149.75</v>
      </c>
    </row>
    <row r="753" spans="1:8" x14ac:dyDescent="0.2">
      <c r="B753" s="135" t="s">
        <v>1021</v>
      </c>
      <c r="C753" s="135" t="s">
        <v>102</v>
      </c>
      <c r="D753" s="135">
        <v>6007637</v>
      </c>
      <c r="E753" s="135" t="s">
        <v>1022</v>
      </c>
      <c r="F753" s="135" t="s">
        <v>722</v>
      </c>
      <c r="G753" s="135" t="s">
        <v>1123</v>
      </c>
      <c r="H753" s="131">
        <v>0</v>
      </c>
    </row>
    <row r="754" spans="1:8" x14ac:dyDescent="0.2">
      <c r="B754" s="135" t="s">
        <v>1021</v>
      </c>
      <c r="C754" s="135" t="s">
        <v>102</v>
      </c>
      <c r="D754" s="135">
        <v>6007637</v>
      </c>
      <c r="E754" s="135" t="s">
        <v>1022</v>
      </c>
      <c r="F754" s="135" t="s">
        <v>722</v>
      </c>
      <c r="G754" s="135" t="s">
        <v>1125</v>
      </c>
      <c r="H754" s="131">
        <v>148.31</v>
      </c>
    </row>
    <row r="755" spans="1:8" x14ac:dyDescent="0.2">
      <c r="B755" s="135" t="s">
        <v>1369</v>
      </c>
      <c r="C755" s="135" t="s">
        <v>101</v>
      </c>
      <c r="D755" s="135">
        <v>2000022030</v>
      </c>
      <c r="E755" s="135"/>
      <c r="F755" s="135" t="s">
        <v>722</v>
      </c>
      <c r="G755" s="135" t="s">
        <v>1440</v>
      </c>
      <c r="H755" s="131">
        <v>-822.75</v>
      </c>
    </row>
    <row r="756" spans="1:8" x14ac:dyDescent="0.2">
      <c r="B756" s="135" t="s">
        <v>1659</v>
      </c>
      <c r="C756" s="135" t="s">
        <v>102</v>
      </c>
      <c r="D756" s="135">
        <v>6007637</v>
      </c>
      <c r="E756" s="135" t="s">
        <v>1022</v>
      </c>
      <c r="F756" s="135" t="s">
        <v>722</v>
      </c>
      <c r="G756" s="135" t="s">
        <v>1124</v>
      </c>
      <c r="H756" s="131">
        <v>1149.75</v>
      </c>
    </row>
    <row r="757" spans="1:8" x14ac:dyDescent="0.2">
      <c r="B757" s="135" t="s">
        <v>1659</v>
      </c>
      <c r="C757" s="135" t="s">
        <v>102</v>
      </c>
      <c r="D757" s="135">
        <v>6007637</v>
      </c>
      <c r="E757" s="135" t="s">
        <v>1022</v>
      </c>
      <c r="F757" s="135" t="s">
        <v>722</v>
      </c>
      <c r="G757" s="135" t="s">
        <v>1123</v>
      </c>
      <c r="H757" s="131">
        <v>0</v>
      </c>
    </row>
    <row r="758" spans="1:8" x14ac:dyDescent="0.2">
      <c r="B758" s="135" t="s">
        <v>1659</v>
      </c>
      <c r="C758" s="135" t="s">
        <v>102</v>
      </c>
      <c r="D758" s="135">
        <v>6007637</v>
      </c>
      <c r="E758" s="135" t="s">
        <v>1022</v>
      </c>
      <c r="F758" s="135" t="s">
        <v>722</v>
      </c>
      <c r="G758" s="135" t="s">
        <v>1125</v>
      </c>
      <c r="H758" s="131">
        <v>148.31</v>
      </c>
    </row>
    <row r="759" spans="1:8" x14ac:dyDescent="0.2">
      <c r="B759" s="135" t="s">
        <v>2112</v>
      </c>
      <c r="C759" s="135" t="s">
        <v>102</v>
      </c>
      <c r="D759" s="135">
        <v>6007637</v>
      </c>
      <c r="E759" s="135" t="s">
        <v>1022</v>
      </c>
      <c r="F759" s="135" t="s">
        <v>722</v>
      </c>
      <c r="G759" s="135" t="s">
        <v>1124</v>
      </c>
      <c r="H759" s="131">
        <v>1149.75</v>
      </c>
    </row>
    <row r="760" spans="1:8" x14ac:dyDescent="0.2">
      <c r="B760" s="135" t="s">
        <v>2112</v>
      </c>
      <c r="C760" s="135" t="s">
        <v>102</v>
      </c>
      <c r="D760" s="135">
        <v>6007637</v>
      </c>
      <c r="E760" s="135" t="s">
        <v>1022</v>
      </c>
      <c r="F760" s="135" t="s">
        <v>722</v>
      </c>
      <c r="G760" s="135" t="s">
        <v>1123</v>
      </c>
      <c r="H760" s="131">
        <v>0</v>
      </c>
    </row>
    <row r="761" spans="1:8" x14ac:dyDescent="0.2">
      <c r="B761" s="135" t="s">
        <v>2112</v>
      </c>
      <c r="C761" s="135" t="s">
        <v>102</v>
      </c>
      <c r="D761" s="135">
        <v>6007637</v>
      </c>
      <c r="E761" s="135" t="s">
        <v>1022</v>
      </c>
      <c r="F761" s="135" t="s">
        <v>722</v>
      </c>
      <c r="G761" s="135" t="s">
        <v>1125</v>
      </c>
      <c r="H761" s="131">
        <v>148.31</v>
      </c>
    </row>
    <row r="762" spans="1:8" x14ac:dyDescent="0.2">
      <c r="A762" s="129" t="s">
        <v>1126</v>
      </c>
      <c r="H762" s="132">
        <v>3071.43</v>
      </c>
    </row>
    <row r="763" spans="1:8" x14ac:dyDescent="0.2">
      <c r="A763" s="129" t="s">
        <v>2023</v>
      </c>
    </row>
    <row r="764" spans="1:8" x14ac:dyDescent="0.2">
      <c r="B764" s="135" t="s">
        <v>1835</v>
      </c>
      <c r="C764" s="135" t="s">
        <v>547</v>
      </c>
      <c r="D764" s="135">
        <v>72425</v>
      </c>
      <c r="E764" s="135" t="s">
        <v>2024</v>
      </c>
      <c r="F764" s="135" t="s">
        <v>722</v>
      </c>
      <c r="G764" s="135" t="s">
        <v>2025</v>
      </c>
      <c r="H764" s="131">
        <v>14333.6</v>
      </c>
    </row>
    <row r="765" spans="1:8" x14ac:dyDescent="0.2">
      <c r="A765" s="129" t="s">
        <v>2026</v>
      </c>
      <c r="H765" s="132">
        <v>14333.6</v>
      </c>
    </row>
    <row r="766" spans="1:8" x14ac:dyDescent="0.2">
      <c r="A766" s="129" t="s">
        <v>774</v>
      </c>
    </row>
    <row r="767" spans="1:8" x14ac:dyDescent="0.2">
      <c r="B767" s="135" t="s">
        <v>821</v>
      </c>
      <c r="C767" s="135" t="s">
        <v>102</v>
      </c>
      <c r="D767" s="135">
        <v>13018</v>
      </c>
      <c r="E767" s="135" t="s">
        <v>775</v>
      </c>
      <c r="F767" s="135" t="s">
        <v>722</v>
      </c>
      <c r="G767" s="135" t="s">
        <v>902</v>
      </c>
      <c r="H767" s="131">
        <v>34260.79</v>
      </c>
    </row>
    <row r="768" spans="1:8" x14ac:dyDescent="0.2">
      <c r="B768" s="135" t="s">
        <v>821</v>
      </c>
      <c r="C768" s="135" t="s">
        <v>102</v>
      </c>
      <c r="D768" s="135">
        <v>12254</v>
      </c>
      <c r="E768" s="135" t="s">
        <v>775</v>
      </c>
      <c r="F768" s="135" t="s">
        <v>722</v>
      </c>
      <c r="G768" s="135" t="s">
        <v>1127</v>
      </c>
      <c r="H768" s="131">
        <v>8882.24</v>
      </c>
    </row>
    <row r="769" spans="1:8" x14ac:dyDescent="0.2">
      <c r="B769" s="135" t="s">
        <v>1248</v>
      </c>
      <c r="C769" s="135" t="s">
        <v>547</v>
      </c>
      <c r="D769" s="135">
        <v>63023</v>
      </c>
      <c r="E769" s="135" t="s">
        <v>775</v>
      </c>
      <c r="F769" s="135" t="s">
        <v>722</v>
      </c>
      <c r="G769" s="135" t="s">
        <v>1250</v>
      </c>
      <c r="H769" s="131">
        <v>0</v>
      </c>
    </row>
    <row r="770" spans="1:8" x14ac:dyDescent="0.2">
      <c r="B770" s="135" t="s">
        <v>2240</v>
      </c>
      <c r="C770" s="135" t="s">
        <v>547</v>
      </c>
      <c r="D770" s="135">
        <v>63023</v>
      </c>
      <c r="E770" s="135" t="s">
        <v>775</v>
      </c>
      <c r="F770" s="135" t="s">
        <v>722</v>
      </c>
      <c r="G770" s="135" t="s">
        <v>1250</v>
      </c>
      <c r="H770" s="131">
        <v>0</v>
      </c>
    </row>
    <row r="771" spans="1:8" x14ac:dyDescent="0.2">
      <c r="B771" s="135" t="s">
        <v>2782</v>
      </c>
      <c r="C771" s="135" t="s">
        <v>547</v>
      </c>
      <c r="D771" s="135">
        <v>63023</v>
      </c>
      <c r="E771" s="135" t="s">
        <v>775</v>
      </c>
      <c r="F771" s="135" t="s">
        <v>722</v>
      </c>
      <c r="G771" s="135" t="s">
        <v>1250</v>
      </c>
      <c r="H771" s="131">
        <v>8565.2000000000007</v>
      </c>
    </row>
    <row r="772" spans="1:8" x14ac:dyDescent="0.2">
      <c r="A772" s="129" t="s">
        <v>776</v>
      </c>
      <c r="H772" s="132">
        <v>51708.23</v>
      </c>
    </row>
    <row r="773" spans="1:8" x14ac:dyDescent="0.2">
      <c r="A773" s="129" t="s">
        <v>1251</v>
      </c>
    </row>
    <row r="774" spans="1:8" x14ac:dyDescent="0.2">
      <c r="B774" s="135" t="s">
        <v>1252</v>
      </c>
      <c r="C774" s="135" t="s">
        <v>102</v>
      </c>
      <c r="D774" s="135">
        <v>240115</v>
      </c>
      <c r="E774" s="135" t="s">
        <v>1253</v>
      </c>
      <c r="F774" s="135" t="s">
        <v>722</v>
      </c>
      <c r="G774" s="135" t="s">
        <v>1254</v>
      </c>
      <c r="H774" s="131">
        <v>500</v>
      </c>
    </row>
    <row r="775" spans="1:8" x14ac:dyDescent="0.2">
      <c r="B775" s="135" t="s">
        <v>1183</v>
      </c>
      <c r="C775" s="135" t="s">
        <v>547</v>
      </c>
      <c r="D775" s="135">
        <v>31225</v>
      </c>
      <c r="E775" s="135" t="s">
        <v>1253</v>
      </c>
      <c r="F775" s="135" t="s">
        <v>722</v>
      </c>
      <c r="G775" s="135" t="s">
        <v>1255</v>
      </c>
      <c r="H775" s="131">
        <v>250</v>
      </c>
    </row>
    <row r="776" spans="1:8" x14ac:dyDescent="0.2">
      <c r="A776" s="129" t="s">
        <v>1256</v>
      </c>
      <c r="H776" s="132">
        <v>750</v>
      </c>
    </row>
    <row r="777" spans="1:8" x14ac:dyDescent="0.2">
      <c r="A777" s="129" t="s">
        <v>2205</v>
      </c>
    </row>
    <row r="778" spans="1:8" x14ac:dyDescent="0.2">
      <c r="B778" s="135" t="s">
        <v>1232</v>
      </c>
      <c r="C778" s="135" t="s">
        <v>3</v>
      </c>
      <c r="D778" s="135"/>
      <c r="E778" s="135" t="s">
        <v>1233</v>
      </c>
      <c r="F778" s="135" t="s">
        <v>722</v>
      </c>
      <c r="G778" s="135"/>
      <c r="H778" s="131">
        <v>193.6</v>
      </c>
    </row>
    <row r="779" spans="1:8" x14ac:dyDescent="0.2">
      <c r="B779" s="135" t="s">
        <v>1369</v>
      </c>
      <c r="C779" s="135" t="s">
        <v>3</v>
      </c>
      <c r="D779" s="135"/>
      <c r="E779" s="135" t="s">
        <v>1424</v>
      </c>
      <c r="F779" s="135" t="s">
        <v>722</v>
      </c>
      <c r="G779" s="135" t="s">
        <v>2206</v>
      </c>
      <c r="H779" s="131">
        <v>145</v>
      </c>
    </row>
    <row r="780" spans="1:8" x14ac:dyDescent="0.2">
      <c r="B780" s="135" t="s">
        <v>1579</v>
      </c>
      <c r="C780" s="135" t="s">
        <v>3</v>
      </c>
      <c r="D780" s="135"/>
      <c r="E780" s="135" t="s">
        <v>1233</v>
      </c>
      <c r="F780" s="135" t="s">
        <v>722</v>
      </c>
      <c r="G780" s="135" t="s">
        <v>2207</v>
      </c>
      <c r="H780" s="131">
        <v>452.6</v>
      </c>
    </row>
    <row r="781" spans="1:8" x14ac:dyDescent="0.2">
      <c r="B781" s="135" t="s">
        <v>1579</v>
      </c>
      <c r="C781" s="135" t="s">
        <v>3</v>
      </c>
      <c r="D781" s="135"/>
      <c r="E781" s="135" t="s">
        <v>1234</v>
      </c>
      <c r="F781" s="135" t="s">
        <v>722</v>
      </c>
      <c r="G781" s="135" t="s">
        <v>2207</v>
      </c>
      <c r="H781" s="131">
        <v>242.6</v>
      </c>
    </row>
    <row r="782" spans="1:8" x14ac:dyDescent="0.2">
      <c r="B782" s="135" t="s">
        <v>1579</v>
      </c>
      <c r="C782" s="135" t="s">
        <v>3</v>
      </c>
      <c r="D782" s="135"/>
      <c r="E782" s="135" t="s">
        <v>1231</v>
      </c>
      <c r="F782" s="135" t="s">
        <v>722</v>
      </c>
      <c r="G782" s="135"/>
      <c r="H782" s="131">
        <v>12.02</v>
      </c>
    </row>
    <row r="783" spans="1:8" x14ac:dyDescent="0.2">
      <c r="B783" s="135" t="s">
        <v>2088</v>
      </c>
      <c r="C783" s="135" t="s">
        <v>3</v>
      </c>
      <c r="D783" s="135"/>
      <c r="E783" s="135" t="s">
        <v>2024</v>
      </c>
      <c r="F783" s="135" t="s">
        <v>722</v>
      </c>
      <c r="G783" s="135"/>
      <c r="H783" s="131">
        <v>150</v>
      </c>
    </row>
    <row r="784" spans="1:8" x14ac:dyDescent="0.2">
      <c r="B784" s="135" t="s">
        <v>2243</v>
      </c>
      <c r="C784" s="135" t="s">
        <v>3</v>
      </c>
      <c r="D784" s="135"/>
      <c r="E784" s="135" t="s">
        <v>2024</v>
      </c>
      <c r="F784" s="135" t="s">
        <v>722</v>
      </c>
      <c r="G784" s="135"/>
      <c r="H784" s="131">
        <v>380</v>
      </c>
    </row>
    <row r="785" spans="1:8" x14ac:dyDescent="0.2">
      <c r="B785" s="135" t="s">
        <v>2243</v>
      </c>
      <c r="C785" s="135" t="s">
        <v>3</v>
      </c>
      <c r="D785" s="135"/>
      <c r="E785" s="135" t="s">
        <v>2024</v>
      </c>
      <c r="F785" s="135" t="s">
        <v>722</v>
      </c>
      <c r="G785" s="135" t="s">
        <v>2314</v>
      </c>
      <c r="H785" s="131">
        <v>265</v>
      </c>
    </row>
    <row r="786" spans="1:8" x14ac:dyDescent="0.2">
      <c r="A786" s="129" t="s">
        <v>2208</v>
      </c>
      <c r="H786" s="132">
        <v>1840.82</v>
      </c>
    </row>
    <row r="787" spans="1:8" x14ac:dyDescent="0.2">
      <c r="A787" s="129" t="s">
        <v>2809</v>
      </c>
    </row>
    <row r="788" spans="1:8" x14ac:dyDescent="0.2">
      <c r="B788" s="135" t="s">
        <v>2780</v>
      </c>
      <c r="C788" s="135" t="s">
        <v>547</v>
      </c>
      <c r="D788" s="135">
        <v>120524</v>
      </c>
      <c r="E788" s="135" t="s">
        <v>2810</v>
      </c>
      <c r="F788" s="135" t="s">
        <v>722</v>
      </c>
      <c r="G788" s="135" t="s">
        <v>2811</v>
      </c>
      <c r="H788" s="131">
        <v>240</v>
      </c>
    </row>
    <row r="789" spans="1:8" x14ac:dyDescent="0.2">
      <c r="A789" s="129" t="s">
        <v>2812</v>
      </c>
      <c r="H789" s="132">
        <v>240</v>
      </c>
    </row>
    <row r="790" spans="1:8" x14ac:dyDescent="0.2">
      <c r="A790" s="129" t="s">
        <v>536</v>
      </c>
    </row>
    <row r="791" spans="1:8" x14ac:dyDescent="0.2">
      <c r="A791" s="129" t="s">
        <v>549</v>
      </c>
    </row>
    <row r="792" spans="1:8" x14ac:dyDescent="0.2">
      <c r="B792" s="135" t="s">
        <v>832</v>
      </c>
      <c r="C792" s="135" t="s">
        <v>3</v>
      </c>
      <c r="D792" s="135"/>
      <c r="E792" s="135" t="s">
        <v>725</v>
      </c>
      <c r="F792" s="135" t="s">
        <v>722</v>
      </c>
      <c r="G792" s="135"/>
      <c r="H792" s="131">
        <v>63.21</v>
      </c>
    </row>
    <row r="793" spans="1:8" x14ac:dyDescent="0.2">
      <c r="B793" s="135" t="s">
        <v>826</v>
      </c>
      <c r="C793" s="135" t="s">
        <v>3</v>
      </c>
      <c r="D793" s="135"/>
      <c r="E793" s="135" t="s">
        <v>725</v>
      </c>
      <c r="F793" s="135" t="s">
        <v>722</v>
      </c>
      <c r="G793" s="135"/>
      <c r="H793" s="131">
        <v>237.34</v>
      </c>
    </row>
    <row r="794" spans="1:8" x14ac:dyDescent="0.2">
      <c r="B794" s="135" t="s">
        <v>824</v>
      </c>
      <c r="C794" s="135" t="s">
        <v>339</v>
      </c>
      <c r="D794" s="135" t="s">
        <v>837</v>
      </c>
      <c r="E794" s="135"/>
      <c r="F794" s="135" t="s">
        <v>722</v>
      </c>
      <c r="G794" s="135" t="s">
        <v>546</v>
      </c>
      <c r="H794" s="131">
        <v>33.799999999999997</v>
      </c>
    </row>
    <row r="795" spans="1:8" x14ac:dyDescent="0.2">
      <c r="B795" s="135" t="s">
        <v>1029</v>
      </c>
      <c r="C795" s="135" t="s">
        <v>3</v>
      </c>
      <c r="D795" s="135"/>
      <c r="E795" s="135" t="s">
        <v>725</v>
      </c>
      <c r="F795" s="135" t="s">
        <v>722</v>
      </c>
      <c r="G795" s="135"/>
      <c r="H795" s="131">
        <v>53.59</v>
      </c>
    </row>
    <row r="796" spans="1:8" x14ac:dyDescent="0.2">
      <c r="B796" s="135" t="s">
        <v>1030</v>
      </c>
      <c r="C796" s="135" t="s">
        <v>3</v>
      </c>
      <c r="D796" s="135"/>
      <c r="E796" s="135" t="s">
        <v>725</v>
      </c>
      <c r="F796" s="135" t="s">
        <v>722</v>
      </c>
      <c r="G796" s="135"/>
      <c r="H796" s="131">
        <v>51.9</v>
      </c>
    </row>
    <row r="797" spans="1:8" x14ac:dyDescent="0.2">
      <c r="B797" s="135" t="s">
        <v>972</v>
      </c>
      <c r="C797" s="135" t="s">
        <v>339</v>
      </c>
      <c r="D797" s="135" t="s">
        <v>1031</v>
      </c>
      <c r="E797" s="135"/>
      <c r="F797" s="135" t="s">
        <v>722</v>
      </c>
      <c r="G797" s="135" t="s">
        <v>546</v>
      </c>
      <c r="H797" s="131">
        <v>33.799999999999997</v>
      </c>
    </row>
    <row r="798" spans="1:8" x14ac:dyDescent="0.2">
      <c r="B798" s="135" t="s">
        <v>1161</v>
      </c>
      <c r="C798" s="135" t="s">
        <v>3</v>
      </c>
      <c r="D798" s="135"/>
      <c r="E798" s="135" t="s">
        <v>725</v>
      </c>
      <c r="F798" s="135" t="s">
        <v>722</v>
      </c>
      <c r="G798" s="135"/>
      <c r="H798" s="131">
        <v>51.9</v>
      </c>
    </row>
    <row r="799" spans="1:8" x14ac:dyDescent="0.2">
      <c r="B799" s="135" t="s">
        <v>1176</v>
      </c>
      <c r="C799" s="135" t="s">
        <v>3</v>
      </c>
      <c r="D799" s="135"/>
      <c r="E799" s="135" t="s">
        <v>725</v>
      </c>
      <c r="F799" s="135" t="s">
        <v>722</v>
      </c>
      <c r="G799" s="135"/>
      <c r="H799" s="131">
        <v>51.9</v>
      </c>
    </row>
    <row r="800" spans="1:8" x14ac:dyDescent="0.2">
      <c r="B800" s="135" t="s">
        <v>1192</v>
      </c>
      <c r="C800" s="135" t="s">
        <v>3</v>
      </c>
      <c r="D800" s="135"/>
      <c r="E800" s="135" t="s">
        <v>725</v>
      </c>
      <c r="F800" s="135" t="s">
        <v>722</v>
      </c>
      <c r="G800" s="135"/>
      <c r="H800" s="131">
        <v>51.9</v>
      </c>
    </row>
    <row r="801" spans="2:8" x14ac:dyDescent="0.2">
      <c r="B801" s="135" t="s">
        <v>1168</v>
      </c>
      <c r="C801" s="135" t="s">
        <v>339</v>
      </c>
      <c r="D801" s="135" t="s">
        <v>1193</v>
      </c>
      <c r="E801" s="135"/>
      <c r="F801" s="135" t="s">
        <v>722</v>
      </c>
      <c r="G801" s="135" t="s">
        <v>546</v>
      </c>
      <c r="H801" s="131">
        <v>33.799999999999997</v>
      </c>
    </row>
    <row r="802" spans="2:8" x14ac:dyDescent="0.2">
      <c r="B802" s="135" t="s">
        <v>1296</v>
      </c>
      <c r="C802" s="135" t="s">
        <v>3</v>
      </c>
      <c r="D802" s="135"/>
      <c r="E802" s="135" t="s">
        <v>725</v>
      </c>
      <c r="F802" s="135" t="s">
        <v>722</v>
      </c>
      <c r="G802" s="135"/>
      <c r="H802" s="131">
        <v>60.03</v>
      </c>
    </row>
    <row r="803" spans="2:8" x14ac:dyDescent="0.2">
      <c r="B803" s="135" t="s">
        <v>1312</v>
      </c>
      <c r="C803" s="135" t="s">
        <v>3</v>
      </c>
      <c r="D803" s="135"/>
      <c r="E803" s="135" t="s">
        <v>725</v>
      </c>
      <c r="F803" s="135" t="s">
        <v>722</v>
      </c>
      <c r="G803" s="135"/>
      <c r="H803" s="131">
        <v>51.9</v>
      </c>
    </row>
    <row r="804" spans="2:8" x14ac:dyDescent="0.2">
      <c r="B804" s="135" t="s">
        <v>1369</v>
      </c>
      <c r="C804" s="135" t="s">
        <v>339</v>
      </c>
      <c r="D804" s="135" t="s">
        <v>1372</v>
      </c>
      <c r="E804" s="135"/>
      <c r="F804" s="135" t="s">
        <v>722</v>
      </c>
      <c r="G804" s="135" t="s">
        <v>546</v>
      </c>
      <c r="H804" s="131">
        <v>33.799999999999997</v>
      </c>
    </row>
    <row r="805" spans="2:8" x14ac:dyDescent="0.2">
      <c r="B805" s="135" t="s">
        <v>1542</v>
      </c>
      <c r="C805" s="135" t="s">
        <v>3</v>
      </c>
      <c r="D805" s="135"/>
      <c r="E805" s="135" t="s">
        <v>725</v>
      </c>
      <c r="F805" s="135" t="s">
        <v>722</v>
      </c>
      <c r="G805" s="135"/>
      <c r="H805" s="131">
        <v>55.09</v>
      </c>
    </row>
    <row r="806" spans="2:8" x14ac:dyDescent="0.2">
      <c r="B806" s="135" t="s">
        <v>1545</v>
      </c>
      <c r="C806" s="135" t="s">
        <v>3</v>
      </c>
      <c r="D806" s="135"/>
      <c r="E806" s="135" t="s">
        <v>725</v>
      </c>
      <c r="F806" s="135" t="s">
        <v>722</v>
      </c>
      <c r="G806" s="135"/>
      <c r="H806" s="131">
        <v>56.89</v>
      </c>
    </row>
    <row r="807" spans="2:8" x14ac:dyDescent="0.2">
      <c r="B807" s="135" t="s">
        <v>1548</v>
      </c>
      <c r="C807" s="135" t="s">
        <v>339</v>
      </c>
      <c r="D807" s="135" t="s">
        <v>1552</v>
      </c>
      <c r="E807" s="135"/>
      <c r="F807" s="135" t="s">
        <v>722</v>
      </c>
      <c r="G807" s="135" t="s">
        <v>546</v>
      </c>
      <c r="H807" s="131">
        <v>33.799999999999997</v>
      </c>
    </row>
    <row r="808" spans="2:8" x14ac:dyDescent="0.2">
      <c r="B808" s="135" t="s">
        <v>1608</v>
      </c>
      <c r="C808" s="135" t="s">
        <v>3</v>
      </c>
      <c r="D808" s="135"/>
      <c r="E808" s="135" t="s">
        <v>725</v>
      </c>
      <c r="F808" s="135" t="s">
        <v>722</v>
      </c>
      <c r="G808" s="135"/>
      <c r="H808" s="131">
        <v>56.89</v>
      </c>
    </row>
    <row r="809" spans="2:8" x14ac:dyDescent="0.2">
      <c r="B809" s="135" t="s">
        <v>1643</v>
      </c>
      <c r="C809" s="135" t="s">
        <v>3</v>
      </c>
      <c r="D809" s="135"/>
      <c r="E809" s="135" t="s">
        <v>725</v>
      </c>
      <c r="F809" s="135" t="s">
        <v>722</v>
      </c>
      <c r="G809" s="135"/>
      <c r="H809" s="131">
        <v>56.89</v>
      </c>
    </row>
    <row r="810" spans="2:8" x14ac:dyDescent="0.2">
      <c r="B810" s="135" t="s">
        <v>1624</v>
      </c>
      <c r="C810" s="135" t="s">
        <v>339</v>
      </c>
      <c r="D810" s="135" t="s">
        <v>1663</v>
      </c>
      <c r="E810" s="135"/>
      <c r="F810" s="135" t="s">
        <v>722</v>
      </c>
      <c r="G810" s="135" t="s">
        <v>546</v>
      </c>
      <c r="H810" s="131">
        <v>33.799999999999997</v>
      </c>
    </row>
    <row r="811" spans="2:8" x14ac:dyDescent="0.2">
      <c r="B811" s="135" t="s">
        <v>1789</v>
      </c>
      <c r="C811" s="135" t="s">
        <v>3</v>
      </c>
      <c r="D811" s="135"/>
      <c r="E811" s="135" t="s">
        <v>725</v>
      </c>
      <c r="F811" s="135" t="s">
        <v>722</v>
      </c>
      <c r="G811" s="135"/>
      <c r="H811" s="131">
        <v>128.69999999999999</v>
      </c>
    </row>
    <row r="812" spans="2:8" x14ac:dyDescent="0.2">
      <c r="B812" s="135" t="s">
        <v>1854</v>
      </c>
      <c r="C812" s="135" t="s">
        <v>3</v>
      </c>
      <c r="D812" s="135"/>
      <c r="E812" s="135" t="s">
        <v>725</v>
      </c>
      <c r="F812" s="135" t="s">
        <v>722</v>
      </c>
      <c r="G812" s="135"/>
      <c r="H812" s="131">
        <v>88.31</v>
      </c>
    </row>
    <row r="813" spans="2:8" x14ac:dyDescent="0.2">
      <c r="B813" s="135" t="s">
        <v>1830</v>
      </c>
      <c r="C813" s="135" t="s">
        <v>339</v>
      </c>
      <c r="D813" s="135" t="s">
        <v>1897</v>
      </c>
      <c r="E813" s="135"/>
      <c r="F813" s="135" t="s">
        <v>722</v>
      </c>
      <c r="G813" s="135" t="s">
        <v>546</v>
      </c>
      <c r="H813" s="131">
        <v>33.799999999999997</v>
      </c>
    </row>
    <row r="814" spans="2:8" x14ac:dyDescent="0.2">
      <c r="B814" s="135" t="s">
        <v>2097</v>
      </c>
      <c r="C814" s="135" t="s">
        <v>3</v>
      </c>
      <c r="D814" s="135"/>
      <c r="E814" s="135" t="s">
        <v>725</v>
      </c>
      <c r="F814" s="135" t="s">
        <v>722</v>
      </c>
      <c r="G814" s="135"/>
      <c r="H814" s="131">
        <v>99.63</v>
      </c>
    </row>
    <row r="815" spans="2:8" x14ac:dyDescent="0.2">
      <c r="B815" s="135" t="s">
        <v>2113</v>
      </c>
      <c r="C815" s="135" t="s">
        <v>3</v>
      </c>
      <c r="D815" s="135"/>
      <c r="E815" s="135" t="s">
        <v>725</v>
      </c>
      <c r="F815" s="135" t="s">
        <v>722</v>
      </c>
      <c r="G815" s="135"/>
      <c r="H815" s="131">
        <v>85.75</v>
      </c>
    </row>
    <row r="816" spans="2:8" x14ac:dyDescent="0.2">
      <c r="B816" s="135" t="s">
        <v>2104</v>
      </c>
      <c r="C816" s="135" t="s">
        <v>3</v>
      </c>
      <c r="D816" s="135"/>
      <c r="E816" s="135" t="s">
        <v>725</v>
      </c>
      <c r="F816" s="135" t="s">
        <v>722</v>
      </c>
      <c r="G816" s="135"/>
      <c r="H816" s="131">
        <v>75.09</v>
      </c>
    </row>
    <row r="817" spans="1:8" x14ac:dyDescent="0.2">
      <c r="B817" s="135" t="s">
        <v>2081</v>
      </c>
      <c r="C817" s="135" t="s">
        <v>339</v>
      </c>
      <c r="D817" s="135" t="s">
        <v>2114</v>
      </c>
      <c r="E817" s="135"/>
      <c r="F817" s="135" t="s">
        <v>722</v>
      </c>
      <c r="G817" s="135" t="s">
        <v>546</v>
      </c>
      <c r="H817" s="131">
        <v>33.799999999999997</v>
      </c>
    </row>
    <row r="818" spans="1:8" x14ac:dyDescent="0.2">
      <c r="B818" s="135" t="s">
        <v>2263</v>
      </c>
      <c r="C818" s="135" t="s">
        <v>3</v>
      </c>
      <c r="D818" s="135"/>
      <c r="E818" s="135" t="s">
        <v>725</v>
      </c>
      <c r="F818" s="135" t="s">
        <v>722</v>
      </c>
      <c r="G818" s="135"/>
      <c r="H818" s="131">
        <v>55.09</v>
      </c>
    </row>
    <row r="819" spans="1:8" x14ac:dyDescent="0.2">
      <c r="B819" s="135" t="s">
        <v>2251</v>
      </c>
      <c r="C819" s="135" t="s">
        <v>3</v>
      </c>
      <c r="D819" s="135"/>
      <c r="E819" s="135" t="s">
        <v>725</v>
      </c>
      <c r="F819" s="135" t="s">
        <v>722</v>
      </c>
      <c r="G819" s="135"/>
      <c r="H819" s="131">
        <v>75.09</v>
      </c>
    </row>
    <row r="820" spans="1:8" x14ac:dyDescent="0.2">
      <c r="B820" s="135" t="s">
        <v>2240</v>
      </c>
      <c r="C820" s="135" t="s">
        <v>339</v>
      </c>
      <c r="D820" s="135" t="s">
        <v>2264</v>
      </c>
      <c r="E820" s="135"/>
      <c r="F820" s="135" t="s">
        <v>722</v>
      </c>
      <c r="G820" s="135" t="s">
        <v>546</v>
      </c>
      <c r="H820" s="131">
        <v>33.799999999999997</v>
      </c>
    </row>
    <row r="821" spans="1:8" x14ac:dyDescent="0.2">
      <c r="B821" s="135" t="s">
        <v>2382</v>
      </c>
      <c r="C821" s="135" t="s">
        <v>3</v>
      </c>
      <c r="D821" s="135"/>
      <c r="E821" s="135" t="s">
        <v>725</v>
      </c>
      <c r="F821" s="135" t="s">
        <v>722</v>
      </c>
      <c r="G821" s="135"/>
      <c r="H821" s="131">
        <v>62.29</v>
      </c>
    </row>
    <row r="822" spans="1:8" x14ac:dyDescent="0.2">
      <c r="B822" s="135" t="s">
        <v>2361</v>
      </c>
      <c r="C822" s="135" t="s">
        <v>3</v>
      </c>
      <c r="D822" s="135"/>
      <c r="E822" s="135" t="s">
        <v>725</v>
      </c>
      <c r="F822" s="135" t="s">
        <v>722</v>
      </c>
      <c r="G822" s="135"/>
      <c r="H822" s="131">
        <v>73.290000000000006</v>
      </c>
    </row>
    <row r="823" spans="1:8" x14ac:dyDescent="0.2">
      <c r="B823" s="135" t="s">
        <v>2370</v>
      </c>
      <c r="C823" s="135" t="s">
        <v>339</v>
      </c>
      <c r="D823" s="135" t="s">
        <v>2383</v>
      </c>
      <c r="E823" s="135"/>
      <c r="F823" s="135" t="s">
        <v>722</v>
      </c>
      <c r="G823" s="135" t="s">
        <v>546</v>
      </c>
      <c r="H823" s="131">
        <v>33.799999999999997</v>
      </c>
    </row>
    <row r="824" spans="1:8" x14ac:dyDescent="0.2">
      <c r="B824" s="135" t="s">
        <v>2553</v>
      </c>
      <c r="C824" s="135" t="s">
        <v>3</v>
      </c>
      <c r="D824" s="135"/>
      <c r="E824" s="135" t="s">
        <v>725</v>
      </c>
      <c r="F824" s="135" t="s">
        <v>722</v>
      </c>
      <c r="G824" s="135"/>
      <c r="H824" s="131">
        <v>53.29</v>
      </c>
    </row>
    <row r="825" spans="1:8" x14ac:dyDescent="0.2">
      <c r="B825" s="135" t="s">
        <v>2569</v>
      </c>
      <c r="C825" s="135" t="s">
        <v>3</v>
      </c>
      <c r="D825" s="135"/>
      <c r="E825" s="135" t="s">
        <v>725</v>
      </c>
      <c r="F825" s="135" t="s">
        <v>722</v>
      </c>
      <c r="G825" s="135"/>
      <c r="H825" s="131">
        <v>73.290000000000006</v>
      </c>
    </row>
    <row r="826" spans="1:8" x14ac:dyDescent="0.2">
      <c r="B826" s="135" t="s">
        <v>2548</v>
      </c>
      <c r="C826" s="135" t="s">
        <v>339</v>
      </c>
      <c r="D826" s="135" t="s">
        <v>2580</v>
      </c>
      <c r="E826" s="135"/>
      <c r="F826" s="135" t="s">
        <v>722</v>
      </c>
      <c r="G826" s="135" t="s">
        <v>546</v>
      </c>
      <c r="H826" s="131">
        <v>33.799999999999997</v>
      </c>
    </row>
    <row r="827" spans="1:8" x14ac:dyDescent="0.2">
      <c r="B827" s="135" t="s">
        <v>2737</v>
      </c>
      <c r="C827" s="135" t="s">
        <v>3</v>
      </c>
      <c r="D827" s="135"/>
      <c r="E827" s="135" t="s">
        <v>725</v>
      </c>
      <c r="F827" s="135" t="s">
        <v>722</v>
      </c>
      <c r="G827" s="135"/>
      <c r="H827" s="131">
        <v>53.29</v>
      </c>
    </row>
    <row r="828" spans="1:8" x14ac:dyDescent="0.2">
      <c r="B828" s="135" t="s">
        <v>2757</v>
      </c>
      <c r="C828" s="135" t="s">
        <v>3</v>
      </c>
      <c r="D828" s="135"/>
      <c r="E828" s="135" t="s">
        <v>725</v>
      </c>
      <c r="F828" s="135" t="s">
        <v>722</v>
      </c>
      <c r="G828" s="135"/>
      <c r="H828" s="131">
        <v>55.47</v>
      </c>
    </row>
    <row r="829" spans="1:8" x14ac:dyDescent="0.2">
      <c r="B829" s="135" t="s">
        <v>2741</v>
      </c>
      <c r="C829" s="135" t="s">
        <v>339</v>
      </c>
      <c r="D829" s="135" t="s">
        <v>2762</v>
      </c>
      <c r="E829" s="135"/>
      <c r="F829" s="135" t="s">
        <v>722</v>
      </c>
      <c r="G829" s="135" t="s">
        <v>546</v>
      </c>
      <c r="H829" s="131">
        <v>33.799999999999997</v>
      </c>
    </row>
    <row r="830" spans="1:8" x14ac:dyDescent="0.2">
      <c r="A830" s="129" t="s">
        <v>550</v>
      </c>
      <c r="H830" s="132">
        <v>2283.61</v>
      </c>
    </row>
    <row r="831" spans="1:8" x14ac:dyDescent="0.2">
      <c r="A831" s="129" t="s">
        <v>537</v>
      </c>
    </row>
    <row r="832" spans="1:8" x14ac:dyDescent="0.2">
      <c r="B832" s="135" t="s">
        <v>824</v>
      </c>
      <c r="C832" s="135" t="s">
        <v>102</v>
      </c>
      <c r="D832" s="135">
        <v>3482</v>
      </c>
      <c r="E832" s="135" t="s">
        <v>538</v>
      </c>
      <c r="F832" s="135" t="s">
        <v>722</v>
      </c>
      <c r="G832" s="135" t="s">
        <v>903</v>
      </c>
      <c r="H832" s="131">
        <v>670</v>
      </c>
    </row>
    <row r="833" spans="2:8" x14ac:dyDescent="0.2">
      <c r="B833" s="135" t="s">
        <v>824</v>
      </c>
      <c r="C833" s="135" t="s">
        <v>339</v>
      </c>
      <c r="D833" s="135" t="s">
        <v>837</v>
      </c>
      <c r="E833" s="135"/>
      <c r="F833" s="135" t="s">
        <v>722</v>
      </c>
      <c r="G833" s="135" t="s">
        <v>546</v>
      </c>
      <c r="H833" s="131">
        <v>-65</v>
      </c>
    </row>
    <row r="834" spans="2:8" x14ac:dyDescent="0.2">
      <c r="B834" s="135" t="s">
        <v>824</v>
      </c>
      <c r="C834" s="135" t="s">
        <v>339</v>
      </c>
      <c r="D834" s="135" t="s">
        <v>837</v>
      </c>
      <c r="E834" s="135"/>
      <c r="F834" s="135" t="s">
        <v>722</v>
      </c>
      <c r="G834" s="135" t="s">
        <v>548</v>
      </c>
      <c r="H834" s="131">
        <v>-15</v>
      </c>
    </row>
    <row r="835" spans="2:8" x14ac:dyDescent="0.2">
      <c r="B835" s="135" t="s">
        <v>972</v>
      </c>
      <c r="C835" s="135" t="s">
        <v>339</v>
      </c>
      <c r="D835" s="135" t="s">
        <v>1031</v>
      </c>
      <c r="E835" s="135"/>
      <c r="F835" s="135" t="s">
        <v>722</v>
      </c>
      <c r="G835" s="135" t="s">
        <v>546</v>
      </c>
      <c r="H835" s="131">
        <v>-65</v>
      </c>
    </row>
    <row r="836" spans="2:8" x14ac:dyDescent="0.2">
      <c r="B836" s="135" t="s">
        <v>972</v>
      </c>
      <c r="C836" s="135" t="s">
        <v>339</v>
      </c>
      <c r="D836" s="135" t="s">
        <v>1031</v>
      </c>
      <c r="E836" s="135"/>
      <c r="F836" s="135" t="s">
        <v>722</v>
      </c>
      <c r="G836" s="135" t="s">
        <v>548</v>
      </c>
      <c r="H836" s="131">
        <v>-15</v>
      </c>
    </row>
    <row r="837" spans="2:8" x14ac:dyDescent="0.2">
      <c r="B837" s="135" t="s">
        <v>1197</v>
      </c>
      <c r="C837" s="135" t="s">
        <v>547</v>
      </c>
      <c r="D837" s="135">
        <v>30424</v>
      </c>
      <c r="E837" s="135" t="s">
        <v>538</v>
      </c>
      <c r="F837" s="135" t="s">
        <v>722</v>
      </c>
      <c r="G837" s="135" t="s">
        <v>1257</v>
      </c>
      <c r="H837" s="131">
        <v>390</v>
      </c>
    </row>
    <row r="838" spans="2:8" x14ac:dyDescent="0.2">
      <c r="B838" s="135" t="s">
        <v>1168</v>
      </c>
      <c r="C838" s="135" t="s">
        <v>102</v>
      </c>
      <c r="D838" s="135">
        <v>3501</v>
      </c>
      <c r="E838" s="135" t="s">
        <v>538</v>
      </c>
      <c r="F838" s="135" t="s">
        <v>722</v>
      </c>
      <c r="G838" s="135" t="s">
        <v>1441</v>
      </c>
      <c r="H838" s="131">
        <v>340</v>
      </c>
    </row>
    <row r="839" spans="2:8" x14ac:dyDescent="0.2">
      <c r="B839" s="135" t="s">
        <v>1168</v>
      </c>
      <c r="C839" s="135" t="s">
        <v>339</v>
      </c>
      <c r="D839" s="135" t="s">
        <v>1193</v>
      </c>
      <c r="E839" s="135"/>
      <c r="F839" s="135" t="s">
        <v>722</v>
      </c>
      <c r="G839" s="135" t="s">
        <v>546</v>
      </c>
      <c r="H839" s="131">
        <v>-65</v>
      </c>
    </row>
    <row r="840" spans="2:8" x14ac:dyDescent="0.2">
      <c r="B840" s="135" t="s">
        <v>1168</v>
      </c>
      <c r="C840" s="135" t="s">
        <v>339</v>
      </c>
      <c r="D840" s="135" t="s">
        <v>1193</v>
      </c>
      <c r="E840" s="135"/>
      <c r="F840" s="135" t="s">
        <v>722</v>
      </c>
      <c r="G840" s="135" t="s">
        <v>548</v>
      </c>
      <c r="H840" s="131">
        <v>-15</v>
      </c>
    </row>
    <row r="841" spans="2:8" x14ac:dyDescent="0.2">
      <c r="B841" s="135" t="s">
        <v>1369</v>
      </c>
      <c r="C841" s="135" t="s">
        <v>339</v>
      </c>
      <c r="D841" s="135" t="s">
        <v>1372</v>
      </c>
      <c r="E841" s="135"/>
      <c r="F841" s="135" t="s">
        <v>722</v>
      </c>
      <c r="G841" s="135" t="s">
        <v>546</v>
      </c>
      <c r="H841" s="131">
        <v>-65</v>
      </c>
    </row>
    <row r="842" spans="2:8" x14ac:dyDescent="0.2">
      <c r="B842" s="135" t="s">
        <v>1369</v>
      </c>
      <c r="C842" s="135" t="s">
        <v>102</v>
      </c>
      <c r="D842" s="135">
        <v>3505</v>
      </c>
      <c r="E842" s="135" t="s">
        <v>538</v>
      </c>
      <c r="F842" s="135" t="s">
        <v>722</v>
      </c>
      <c r="G842" s="135" t="s">
        <v>1442</v>
      </c>
      <c r="H842" s="131">
        <v>1540</v>
      </c>
    </row>
    <row r="843" spans="2:8" x14ac:dyDescent="0.2">
      <c r="B843" s="135" t="s">
        <v>1369</v>
      </c>
      <c r="C843" s="135" t="s">
        <v>339</v>
      </c>
      <c r="D843" s="135" t="s">
        <v>1372</v>
      </c>
      <c r="E843" s="135"/>
      <c r="F843" s="135" t="s">
        <v>722</v>
      </c>
      <c r="G843" s="135" t="s">
        <v>548</v>
      </c>
      <c r="H843" s="131">
        <v>-15</v>
      </c>
    </row>
    <row r="844" spans="2:8" x14ac:dyDescent="0.2">
      <c r="B844" s="135" t="s">
        <v>1548</v>
      </c>
      <c r="C844" s="135" t="s">
        <v>339</v>
      </c>
      <c r="D844" s="135" t="s">
        <v>1552</v>
      </c>
      <c r="E844" s="135"/>
      <c r="F844" s="135" t="s">
        <v>722</v>
      </c>
      <c r="G844" s="135" t="s">
        <v>546</v>
      </c>
      <c r="H844" s="131">
        <v>-65</v>
      </c>
    </row>
    <row r="845" spans="2:8" x14ac:dyDescent="0.2">
      <c r="B845" s="135" t="s">
        <v>1548</v>
      </c>
      <c r="C845" s="135" t="s">
        <v>339</v>
      </c>
      <c r="D845" s="135" t="s">
        <v>1552</v>
      </c>
      <c r="E845" s="135"/>
      <c r="F845" s="135" t="s">
        <v>722</v>
      </c>
      <c r="G845" s="135" t="s">
        <v>548</v>
      </c>
      <c r="H845" s="131">
        <v>-15</v>
      </c>
    </row>
    <row r="846" spans="2:8" x14ac:dyDescent="0.2">
      <c r="B846" s="135" t="s">
        <v>1660</v>
      </c>
      <c r="C846" s="135" t="s">
        <v>547</v>
      </c>
      <c r="D846" s="135">
        <v>60324</v>
      </c>
      <c r="E846" s="135" t="s">
        <v>538</v>
      </c>
      <c r="F846" s="135" t="s">
        <v>722</v>
      </c>
      <c r="G846" s="135" t="s">
        <v>1726</v>
      </c>
      <c r="H846" s="131">
        <v>680</v>
      </c>
    </row>
    <row r="847" spans="2:8" x14ac:dyDescent="0.2">
      <c r="B847" s="135" t="s">
        <v>1624</v>
      </c>
      <c r="C847" s="135" t="s">
        <v>339</v>
      </c>
      <c r="D847" s="135" t="s">
        <v>1663</v>
      </c>
      <c r="E847" s="135"/>
      <c r="F847" s="135" t="s">
        <v>722</v>
      </c>
      <c r="G847" s="135" t="s">
        <v>546</v>
      </c>
      <c r="H847" s="131">
        <v>-65</v>
      </c>
    </row>
    <row r="848" spans="2:8" x14ac:dyDescent="0.2">
      <c r="B848" s="135" t="s">
        <v>1624</v>
      </c>
      <c r="C848" s="135" t="s">
        <v>339</v>
      </c>
      <c r="D848" s="135" t="s">
        <v>1663</v>
      </c>
      <c r="E848" s="135"/>
      <c r="F848" s="135" t="s">
        <v>722</v>
      </c>
      <c r="G848" s="135" t="s">
        <v>548</v>
      </c>
      <c r="H848" s="131">
        <v>-15</v>
      </c>
    </row>
    <row r="849" spans="2:8" x14ac:dyDescent="0.2">
      <c r="B849" s="135" t="s">
        <v>1793</v>
      </c>
      <c r="C849" s="135" t="s">
        <v>547</v>
      </c>
      <c r="D849" s="135">
        <v>70924</v>
      </c>
      <c r="E849" s="135" t="s">
        <v>538</v>
      </c>
      <c r="F849" s="135" t="s">
        <v>722</v>
      </c>
      <c r="G849" s="135" t="s">
        <v>2027</v>
      </c>
      <c r="H849" s="131">
        <v>550</v>
      </c>
    </row>
    <row r="850" spans="2:8" x14ac:dyDescent="0.2">
      <c r="B850" s="135" t="s">
        <v>1830</v>
      </c>
      <c r="C850" s="135" t="s">
        <v>339</v>
      </c>
      <c r="D850" s="135" t="s">
        <v>1897</v>
      </c>
      <c r="E850" s="135"/>
      <c r="F850" s="135" t="s">
        <v>722</v>
      </c>
      <c r="G850" s="135" t="s">
        <v>548</v>
      </c>
      <c r="H850" s="131">
        <v>-15</v>
      </c>
    </row>
    <row r="851" spans="2:8" x14ac:dyDescent="0.2">
      <c r="B851" s="135" t="s">
        <v>1830</v>
      </c>
      <c r="C851" s="135" t="s">
        <v>339</v>
      </c>
      <c r="D851" s="135" t="s">
        <v>1897</v>
      </c>
      <c r="E851" s="135"/>
      <c r="F851" s="135" t="s">
        <v>722</v>
      </c>
      <c r="G851" s="135" t="s">
        <v>546</v>
      </c>
      <c r="H851" s="131">
        <v>-65</v>
      </c>
    </row>
    <row r="852" spans="2:8" x14ac:dyDescent="0.2">
      <c r="B852" s="135" t="s">
        <v>2128</v>
      </c>
      <c r="C852" s="135" t="s">
        <v>547</v>
      </c>
      <c r="D852" s="135">
        <v>80624</v>
      </c>
      <c r="E852" s="135" t="s">
        <v>538</v>
      </c>
      <c r="F852" s="135" t="s">
        <v>722</v>
      </c>
      <c r="G852" s="135" t="s">
        <v>2209</v>
      </c>
      <c r="H852" s="131">
        <v>540</v>
      </c>
    </row>
    <row r="853" spans="2:8" x14ac:dyDescent="0.2">
      <c r="B853" s="135" t="s">
        <v>2096</v>
      </c>
      <c r="C853" s="135" t="s">
        <v>547</v>
      </c>
      <c r="D853" s="135">
        <v>81224</v>
      </c>
      <c r="E853" s="135" t="s">
        <v>538</v>
      </c>
      <c r="F853" s="135" t="s">
        <v>722</v>
      </c>
      <c r="G853" s="135" t="s">
        <v>2210</v>
      </c>
      <c r="H853" s="131">
        <v>770</v>
      </c>
    </row>
    <row r="854" spans="2:8" x14ac:dyDescent="0.2">
      <c r="B854" s="135" t="s">
        <v>2081</v>
      </c>
      <c r="C854" s="135" t="s">
        <v>339</v>
      </c>
      <c r="D854" s="135" t="s">
        <v>2114</v>
      </c>
      <c r="E854" s="135"/>
      <c r="F854" s="135" t="s">
        <v>722</v>
      </c>
      <c r="G854" s="135" t="s">
        <v>546</v>
      </c>
      <c r="H854" s="131">
        <v>-65</v>
      </c>
    </row>
    <row r="855" spans="2:8" x14ac:dyDescent="0.2">
      <c r="B855" s="135" t="s">
        <v>2081</v>
      </c>
      <c r="C855" s="135" t="s">
        <v>339</v>
      </c>
      <c r="D855" s="135" t="s">
        <v>2114</v>
      </c>
      <c r="E855" s="135"/>
      <c r="F855" s="135" t="s">
        <v>722</v>
      </c>
      <c r="G855" s="135" t="s">
        <v>548</v>
      </c>
      <c r="H855" s="131">
        <v>-15</v>
      </c>
    </row>
    <row r="856" spans="2:8" x14ac:dyDescent="0.2">
      <c r="B856" s="135" t="s">
        <v>2240</v>
      </c>
      <c r="C856" s="135" t="s">
        <v>339</v>
      </c>
      <c r="D856" s="135" t="s">
        <v>2264</v>
      </c>
      <c r="E856" s="135"/>
      <c r="F856" s="135" t="s">
        <v>722</v>
      </c>
      <c r="G856" s="135" t="s">
        <v>548</v>
      </c>
      <c r="H856" s="131">
        <v>-15</v>
      </c>
    </row>
    <row r="857" spans="2:8" x14ac:dyDescent="0.2">
      <c r="B857" s="135" t="s">
        <v>2240</v>
      </c>
      <c r="C857" s="135" t="s">
        <v>339</v>
      </c>
      <c r="D857" s="135" t="s">
        <v>2264</v>
      </c>
      <c r="E857" s="135"/>
      <c r="F857" s="135" t="s">
        <v>722</v>
      </c>
      <c r="G857" s="135" t="s">
        <v>546</v>
      </c>
      <c r="H857" s="131">
        <v>-65</v>
      </c>
    </row>
    <row r="858" spans="2:8" x14ac:dyDescent="0.2">
      <c r="B858" s="135" t="s">
        <v>2439</v>
      </c>
      <c r="C858" s="135" t="s">
        <v>547</v>
      </c>
      <c r="D858" s="135">
        <v>100224</v>
      </c>
      <c r="E858" s="135" t="s">
        <v>538</v>
      </c>
      <c r="F858" s="135" t="s">
        <v>722</v>
      </c>
      <c r="G858" s="135" t="s">
        <v>2452</v>
      </c>
      <c r="H858" s="131">
        <v>390</v>
      </c>
    </row>
    <row r="859" spans="2:8" x14ac:dyDescent="0.2">
      <c r="B859" s="135" t="s">
        <v>2370</v>
      </c>
      <c r="C859" s="135" t="s">
        <v>339</v>
      </c>
      <c r="D859" s="135" t="s">
        <v>2383</v>
      </c>
      <c r="E859" s="135"/>
      <c r="F859" s="135" t="s">
        <v>722</v>
      </c>
      <c r="G859" s="135" t="s">
        <v>546</v>
      </c>
      <c r="H859" s="131">
        <v>-65</v>
      </c>
    </row>
    <row r="860" spans="2:8" x14ac:dyDescent="0.2">
      <c r="B860" s="135" t="s">
        <v>2370</v>
      </c>
      <c r="C860" s="135" t="s">
        <v>339</v>
      </c>
      <c r="D860" s="135" t="s">
        <v>2383</v>
      </c>
      <c r="E860" s="135"/>
      <c r="F860" s="135" t="s">
        <v>722</v>
      </c>
      <c r="G860" s="135" t="s">
        <v>548</v>
      </c>
      <c r="H860" s="131">
        <v>-15</v>
      </c>
    </row>
    <row r="861" spans="2:8" x14ac:dyDescent="0.2">
      <c r="B861" s="135" t="s">
        <v>2606</v>
      </c>
      <c r="C861" s="135" t="s">
        <v>547</v>
      </c>
      <c r="D861" s="135">
        <v>110424</v>
      </c>
      <c r="E861" s="135" t="s">
        <v>538</v>
      </c>
      <c r="F861" s="135" t="s">
        <v>722</v>
      </c>
      <c r="G861" s="135" t="s">
        <v>2619</v>
      </c>
      <c r="H861" s="131">
        <v>520</v>
      </c>
    </row>
    <row r="862" spans="2:8" x14ac:dyDescent="0.2">
      <c r="B862" s="135" t="s">
        <v>2548</v>
      </c>
      <c r="C862" s="135" t="s">
        <v>339</v>
      </c>
      <c r="D862" s="135" t="s">
        <v>2580</v>
      </c>
      <c r="E862" s="135"/>
      <c r="F862" s="135" t="s">
        <v>722</v>
      </c>
      <c r="G862" s="135" t="s">
        <v>546</v>
      </c>
      <c r="H862" s="131">
        <v>-65</v>
      </c>
    </row>
    <row r="863" spans="2:8" x14ac:dyDescent="0.2">
      <c r="B863" s="135" t="s">
        <v>2548</v>
      </c>
      <c r="C863" s="135" t="s">
        <v>339</v>
      </c>
      <c r="D863" s="135" t="s">
        <v>2580</v>
      </c>
      <c r="E863" s="135"/>
      <c r="F863" s="135" t="s">
        <v>722</v>
      </c>
      <c r="G863" s="135" t="s">
        <v>548</v>
      </c>
      <c r="H863" s="131">
        <v>-15</v>
      </c>
    </row>
    <row r="864" spans="2:8" x14ac:dyDescent="0.2">
      <c r="B864" s="135" t="s">
        <v>2780</v>
      </c>
      <c r="C864" s="135" t="s">
        <v>547</v>
      </c>
      <c r="D864" s="135">
        <v>120524</v>
      </c>
      <c r="E864" s="135" t="s">
        <v>538</v>
      </c>
      <c r="F864" s="135" t="s">
        <v>722</v>
      </c>
      <c r="G864" s="135" t="s">
        <v>2813</v>
      </c>
      <c r="H864" s="131">
        <v>760</v>
      </c>
    </row>
    <row r="865" spans="1:8" x14ac:dyDescent="0.2">
      <c r="B865" s="135" t="s">
        <v>2741</v>
      </c>
      <c r="C865" s="135" t="s">
        <v>339</v>
      </c>
      <c r="D865" s="135" t="s">
        <v>2762</v>
      </c>
      <c r="E865" s="135"/>
      <c r="F865" s="135" t="s">
        <v>722</v>
      </c>
      <c r="G865" s="135" t="s">
        <v>548</v>
      </c>
      <c r="H865" s="131">
        <v>-15</v>
      </c>
    </row>
    <row r="866" spans="1:8" x14ac:dyDescent="0.2">
      <c r="B866" s="135" t="s">
        <v>2741</v>
      </c>
      <c r="C866" s="135" t="s">
        <v>339</v>
      </c>
      <c r="D866" s="135" t="s">
        <v>2762</v>
      </c>
      <c r="E866" s="135"/>
      <c r="F866" s="135" t="s">
        <v>722</v>
      </c>
      <c r="G866" s="135" t="s">
        <v>546</v>
      </c>
      <c r="H866" s="131">
        <v>-65</v>
      </c>
    </row>
    <row r="867" spans="1:8" x14ac:dyDescent="0.2">
      <c r="A867" s="129" t="s">
        <v>539</v>
      </c>
      <c r="H867" s="132">
        <v>6190</v>
      </c>
    </row>
    <row r="868" spans="1:8" x14ac:dyDescent="0.2">
      <c r="A868" s="129" t="s">
        <v>2453</v>
      </c>
    </row>
    <row r="869" spans="1:8" x14ac:dyDescent="0.2">
      <c r="B869" s="135" t="s">
        <v>2374</v>
      </c>
      <c r="C869" s="135" t="s">
        <v>547</v>
      </c>
      <c r="D869" s="135">
        <v>101524</v>
      </c>
      <c r="E869" s="135" t="s">
        <v>485</v>
      </c>
      <c r="F869" s="135" t="s">
        <v>722</v>
      </c>
      <c r="G869" s="135" t="s">
        <v>2454</v>
      </c>
      <c r="H869" s="131">
        <v>42</v>
      </c>
    </row>
    <row r="870" spans="1:8" x14ac:dyDescent="0.2">
      <c r="B870" s="135" t="s">
        <v>2782</v>
      </c>
      <c r="C870" s="135" t="s">
        <v>547</v>
      </c>
      <c r="D870" s="135">
        <v>123024</v>
      </c>
      <c r="E870" s="135" t="s">
        <v>485</v>
      </c>
      <c r="F870" s="135" t="s">
        <v>722</v>
      </c>
      <c r="G870" s="135" t="s">
        <v>2814</v>
      </c>
      <c r="H870" s="131">
        <v>60</v>
      </c>
    </row>
    <row r="871" spans="1:8" x14ac:dyDescent="0.2">
      <c r="B871" s="135" t="s">
        <v>2782</v>
      </c>
      <c r="C871" s="135" t="s">
        <v>547</v>
      </c>
      <c r="D871" s="135">
        <v>123024</v>
      </c>
      <c r="E871" s="135" t="s">
        <v>485</v>
      </c>
      <c r="F871" s="135" t="s">
        <v>722</v>
      </c>
      <c r="G871" s="135" t="s">
        <v>2815</v>
      </c>
      <c r="H871" s="131">
        <v>60</v>
      </c>
    </row>
    <row r="872" spans="1:8" x14ac:dyDescent="0.2">
      <c r="A872" s="129" t="s">
        <v>2455</v>
      </c>
      <c r="H872" s="132">
        <v>162</v>
      </c>
    </row>
    <row r="873" spans="1:8" x14ac:dyDescent="0.2">
      <c r="A873" s="129" t="s">
        <v>540</v>
      </c>
      <c r="H873" s="132">
        <v>8635.61</v>
      </c>
    </row>
    <row r="874" spans="1:8" x14ac:dyDescent="0.2">
      <c r="A874" s="129" t="s">
        <v>2028</v>
      </c>
    </row>
    <row r="875" spans="1:8" x14ac:dyDescent="0.2">
      <c r="B875" s="135" t="s">
        <v>1830</v>
      </c>
      <c r="C875" s="135" t="s">
        <v>339</v>
      </c>
      <c r="D875" s="135" t="s">
        <v>2000</v>
      </c>
      <c r="E875" s="135"/>
      <c r="F875" s="135" t="s">
        <v>722</v>
      </c>
      <c r="G875" s="135" t="s">
        <v>2001</v>
      </c>
      <c r="H875" s="131">
        <v>3053.24</v>
      </c>
    </row>
    <row r="876" spans="1:8" x14ac:dyDescent="0.2">
      <c r="A876" s="129" t="s">
        <v>2029</v>
      </c>
      <c r="H876" s="132">
        <v>3053.24</v>
      </c>
    </row>
    <row r="877" spans="1:8" x14ac:dyDescent="0.2">
      <c r="A877" s="129" t="s">
        <v>1595</v>
      </c>
    </row>
    <row r="878" spans="1:8" x14ac:dyDescent="0.2">
      <c r="A878" s="129" t="s">
        <v>1596</v>
      </c>
    </row>
    <row r="879" spans="1:8" x14ac:dyDescent="0.2">
      <c r="B879" s="135" t="s">
        <v>1524</v>
      </c>
      <c r="C879" s="135" t="s">
        <v>102</v>
      </c>
      <c r="D879" s="135">
        <v>14921</v>
      </c>
      <c r="E879" s="135" t="s">
        <v>1597</v>
      </c>
      <c r="F879" s="135" t="s">
        <v>722</v>
      </c>
      <c r="G879" s="135" t="s">
        <v>1598</v>
      </c>
      <c r="H879" s="131">
        <v>5800</v>
      </c>
    </row>
    <row r="880" spans="1:8" x14ac:dyDescent="0.2">
      <c r="B880" s="135" t="s">
        <v>1660</v>
      </c>
      <c r="C880" s="135" t="s">
        <v>547</v>
      </c>
      <c r="D880" s="135">
        <v>60325</v>
      </c>
      <c r="E880" s="135" t="s">
        <v>1597</v>
      </c>
      <c r="F880" s="135" t="s">
        <v>722</v>
      </c>
      <c r="G880" s="135" t="s">
        <v>1727</v>
      </c>
      <c r="H880" s="131">
        <v>3500</v>
      </c>
    </row>
    <row r="881" spans="1:8" x14ac:dyDescent="0.2">
      <c r="B881" s="135" t="s">
        <v>1809</v>
      </c>
      <c r="C881" s="135" t="s">
        <v>547</v>
      </c>
      <c r="D881" s="135">
        <v>72324</v>
      </c>
      <c r="E881" s="135" t="s">
        <v>1597</v>
      </c>
      <c r="F881" s="135" t="s">
        <v>722</v>
      </c>
      <c r="G881" s="135" t="s">
        <v>2030</v>
      </c>
      <c r="H881" s="131">
        <v>1525</v>
      </c>
    </row>
    <row r="882" spans="1:8" x14ac:dyDescent="0.2">
      <c r="A882" s="129" t="s">
        <v>1599</v>
      </c>
      <c r="H882" s="132">
        <v>10825</v>
      </c>
    </row>
    <row r="883" spans="1:8" x14ac:dyDescent="0.2">
      <c r="A883" s="129" t="s">
        <v>1600</v>
      </c>
      <c r="H883" s="132">
        <v>10825</v>
      </c>
    </row>
    <row r="884" spans="1:8" x14ac:dyDescent="0.2">
      <c r="A884" s="129" t="s">
        <v>487</v>
      </c>
      <c r="H884" s="132">
        <v>94457.93</v>
      </c>
    </row>
    <row r="885" spans="1:8" x14ac:dyDescent="0.2">
      <c r="A885" s="129" t="s">
        <v>378</v>
      </c>
      <c r="H885" s="132">
        <v>107244.38</v>
      </c>
    </row>
    <row r="886" spans="1:8" x14ac:dyDescent="0.2">
      <c r="A886" s="129" t="s">
        <v>379</v>
      </c>
      <c r="H886" s="132">
        <v>248159.04</v>
      </c>
    </row>
    <row r="887" spans="1:8" x14ac:dyDescent="0.2">
      <c r="A887" s="129" t="s">
        <v>380</v>
      </c>
      <c r="H887" s="132">
        <v>248159.04</v>
      </c>
    </row>
    <row r="888" spans="1:8" x14ac:dyDescent="0.2">
      <c r="A888" s="129" t="s">
        <v>1217</v>
      </c>
      <c r="H888" s="132">
        <v>-38680.800000000003</v>
      </c>
    </row>
    <row r="889" spans="1:8" x14ac:dyDescent="0.2">
      <c r="A889" s="129" t="s">
        <v>489</v>
      </c>
    </row>
    <row r="890" spans="1:8" x14ac:dyDescent="0.2">
      <c r="A890" s="129" t="s">
        <v>490</v>
      </c>
    </row>
    <row r="891" spans="1:8" x14ac:dyDescent="0.2">
      <c r="A891" s="129" t="s">
        <v>2315</v>
      </c>
    </row>
    <row r="892" spans="1:8" x14ac:dyDescent="0.2">
      <c r="B892" s="135" t="s">
        <v>2240</v>
      </c>
      <c r="C892" s="135" t="s">
        <v>339</v>
      </c>
      <c r="D892" s="135" t="s">
        <v>2316</v>
      </c>
      <c r="E892" s="135"/>
      <c r="F892" s="135" t="s">
        <v>722</v>
      </c>
      <c r="G892" s="135" t="s">
        <v>2317</v>
      </c>
      <c r="H892" s="131">
        <v>300</v>
      </c>
    </row>
    <row r="893" spans="1:8" x14ac:dyDescent="0.2">
      <c r="A893" s="129" t="s">
        <v>2318</v>
      </c>
      <c r="H893" s="132">
        <v>300</v>
      </c>
    </row>
    <row r="894" spans="1:8" x14ac:dyDescent="0.2">
      <c r="A894" s="129" t="s">
        <v>1218</v>
      </c>
    </row>
    <row r="895" spans="1:8" x14ac:dyDescent="0.2">
      <c r="A895" s="129" t="s">
        <v>1258</v>
      </c>
    </row>
    <row r="896" spans="1:8" x14ac:dyDescent="0.2">
      <c r="B896" s="135" t="s">
        <v>1168</v>
      </c>
      <c r="C896" s="135" t="s">
        <v>339</v>
      </c>
      <c r="D896" s="135" t="s">
        <v>1259</v>
      </c>
      <c r="E896" s="135"/>
      <c r="F896" s="135" t="s">
        <v>722</v>
      </c>
      <c r="G896" s="135" t="s">
        <v>1260</v>
      </c>
      <c r="H896" s="131">
        <v>2767.44</v>
      </c>
    </row>
    <row r="897" spans="1:8" x14ac:dyDescent="0.2">
      <c r="B897" s="135" t="s">
        <v>1624</v>
      </c>
      <c r="C897" s="135" t="s">
        <v>339</v>
      </c>
      <c r="D897" s="135" t="s">
        <v>1728</v>
      </c>
      <c r="E897" s="135"/>
      <c r="F897" s="135" t="s">
        <v>722</v>
      </c>
      <c r="G897" s="135" t="s">
        <v>1260</v>
      </c>
      <c r="H897" s="131">
        <v>293.60000000000002</v>
      </c>
    </row>
    <row r="898" spans="1:8" x14ac:dyDescent="0.2">
      <c r="B898" s="135" t="s">
        <v>2240</v>
      </c>
      <c r="C898" s="135" t="s">
        <v>339</v>
      </c>
      <c r="D898" s="135" t="s">
        <v>2319</v>
      </c>
      <c r="E898" s="135"/>
      <c r="F898" s="135" t="s">
        <v>722</v>
      </c>
      <c r="G898" s="135" t="s">
        <v>1260</v>
      </c>
      <c r="H898" s="131">
        <v>2690.5</v>
      </c>
    </row>
    <row r="899" spans="1:8" x14ac:dyDescent="0.2">
      <c r="A899" s="129" t="s">
        <v>1261</v>
      </c>
      <c r="H899" s="132">
        <v>5751.54</v>
      </c>
    </row>
    <row r="900" spans="1:8" x14ac:dyDescent="0.2">
      <c r="A900" s="129" t="s">
        <v>1224</v>
      </c>
    </row>
    <row r="901" spans="1:8" x14ac:dyDescent="0.2">
      <c r="B901" s="135" t="s">
        <v>1168</v>
      </c>
      <c r="C901" s="135" t="s">
        <v>339</v>
      </c>
      <c r="D901" s="135" t="s">
        <v>1259</v>
      </c>
      <c r="E901" s="135"/>
      <c r="F901" s="135" t="s">
        <v>722</v>
      </c>
      <c r="G901" s="135" t="s">
        <v>1260</v>
      </c>
      <c r="H901" s="131">
        <v>0</v>
      </c>
    </row>
    <row r="902" spans="1:8" x14ac:dyDescent="0.2">
      <c r="B902" s="135" t="s">
        <v>1624</v>
      </c>
      <c r="C902" s="135" t="s">
        <v>339</v>
      </c>
      <c r="D902" s="135" t="s">
        <v>1728</v>
      </c>
      <c r="E902" s="135"/>
      <c r="F902" s="135" t="s">
        <v>722</v>
      </c>
      <c r="G902" s="135" t="s">
        <v>1260</v>
      </c>
      <c r="H902" s="131">
        <v>801.74</v>
      </c>
    </row>
    <row r="903" spans="1:8" x14ac:dyDescent="0.2">
      <c r="B903" s="135" t="s">
        <v>2240</v>
      </c>
      <c r="C903" s="135" t="s">
        <v>339</v>
      </c>
      <c r="D903" s="135" t="s">
        <v>2319</v>
      </c>
      <c r="E903" s="135"/>
      <c r="F903" s="135" t="s">
        <v>722</v>
      </c>
      <c r="G903" s="135" t="s">
        <v>1260</v>
      </c>
      <c r="H903" s="131">
        <v>218.33</v>
      </c>
    </row>
    <row r="904" spans="1:8" x14ac:dyDescent="0.2">
      <c r="A904" s="129" t="s">
        <v>1225</v>
      </c>
      <c r="H904" s="132">
        <v>1020.07</v>
      </c>
    </row>
    <row r="905" spans="1:8" x14ac:dyDescent="0.2">
      <c r="A905" s="129" t="s">
        <v>1226</v>
      </c>
      <c r="H905" s="132">
        <v>6771.61</v>
      </c>
    </row>
    <row r="906" spans="1:8" x14ac:dyDescent="0.2">
      <c r="A906" s="129" t="s">
        <v>495</v>
      </c>
      <c r="H906" s="132">
        <v>7071.61</v>
      </c>
    </row>
    <row r="907" spans="1:8" x14ac:dyDescent="0.2">
      <c r="A907" s="129" t="s">
        <v>11</v>
      </c>
      <c r="H907" s="132">
        <v>7071.61</v>
      </c>
    </row>
    <row r="908" spans="1:8" x14ac:dyDescent="0.2">
      <c r="A908" s="129" t="s">
        <v>4</v>
      </c>
      <c r="H908" s="132">
        <v>-31609.19</v>
      </c>
    </row>
    <row r="911" spans="1:8" x14ac:dyDescent="0.2">
      <c r="A911" s="334" t="s">
        <v>2816</v>
      </c>
      <c r="B911" s="335"/>
      <c r="C911" s="335"/>
      <c r="D911" s="335"/>
      <c r="E911" s="335"/>
      <c r="F911" s="335"/>
      <c r="G911" s="335"/>
      <c r="H911" s="335"/>
    </row>
  </sheetData>
  <mergeCells count="4">
    <mergeCell ref="A911:H911"/>
    <mergeCell ref="A1:H1"/>
    <mergeCell ref="A2:H2"/>
    <mergeCell ref="A3:H3"/>
  </mergeCells>
  <pageMargins left="0.7" right="0.7" top="0.75" bottom="0.75" header="0.3" footer="0.3"/>
  <pageSetup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16"/>
  <sheetViews>
    <sheetView workbookViewId="0">
      <pane xSplit="1" ySplit="5" topLeftCell="B91" activePane="bottomRight" state="frozen"/>
      <selection pane="topRight" activeCell="B1" sqref="B1"/>
      <selection pane="bottomLeft" activeCell="A6" sqref="A6"/>
      <selection pane="bottomRight" sqref="A1:H1"/>
    </sheetView>
  </sheetViews>
  <sheetFormatPr baseColWidth="10" defaultColWidth="8.83203125" defaultRowHeight="15" x14ac:dyDescent="0.2"/>
  <cols>
    <col min="1" max="1" width="48.1640625" customWidth="1"/>
    <col min="2" max="2" width="9.5" customWidth="1"/>
    <col min="3" max="3" width="16.33203125" customWidth="1"/>
    <col min="4" max="4" width="17.1640625" customWidth="1"/>
    <col min="5" max="5" width="24.83203125" customWidth="1"/>
    <col min="6" max="6" width="8.5" customWidth="1"/>
    <col min="7" max="7" width="49" customWidth="1"/>
    <col min="8" max="8" width="10.33203125" customWidth="1"/>
  </cols>
  <sheetData>
    <row r="1" spans="1:8" ht="18" x14ac:dyDescent="0.2">
      <c r="A1" s="336" t="s">
        <v>64</v>
      </c>
      <c r="B1" s="335"/>
      <c r="C1" s="335"/>
      <c r="D1" s="335"/>
      <c r="E1" s="335"/>
      <c r="F1" s="335"/>
      <c r="G1" s="335"/>
      <c r="H1" s="335"/>
    </row>
    <row r="2" spans="1:8" ht="18" x14ac:dyDescent="0.2">
      <c r="A2" s="336" t="s">
        <v>332</v>
      </c>
      <c r="B2" s="335"/>
      <c r="C2" s="335"/>
      <c r="D2" s="335"/>
      <c r="E2" s="335"/>
      <c r="F2" s="335"/>
      <c r="G2" s="335"/>
      <c r="H2" s="335"/>
    </row>
    <row r="3" spans="1:8" x14ac:dyDescent="0.2">
      <c r="A3" s="337" t="s">
        <v>2675</v>
      </c>
      <c r="B3" s="335"/>
      <c r="C3" s="335"/>
      <c r="D3" s="335"/>
      <c r="E3" s="335"/>
      <c r="F3" s="335"/>
      <c r="G3" s="335"/>
      <c r="H3" s="335"/>
    </row>
    <row r="5" spans="1:8" x14ac:dyDescent="0.2">
      <c r="B5" s="128" t="s">
        <v>97</v>
      </c>
      <c r="C5" s="128" t="s">
        <v>333</v>
      </c>
      <c r="D5" s="128" t="s">
        <v>98</v>
      </c>
      <c r="E5" s="128" t="s">
        <v>99</v>
      </c>
      <c r="F5" s="128" t="s">
        <v>152</v>
      </c>
      <c r="G5" s="128" t="s">
        <v>334</v>
      </c>
      <c r="H5" s="128" t="s">
        <v>149</v>
      </c>
    </row>
    <row r="6" spans="1:8" x14ac:dyDescent="0.2">
      <c r="A6" s="129" t="s">
        <v>489</v>
      </c>
    </row>
    <row r="7" spans="1:8" x14ac:dyDescent="0.2">
      <c r="A7" s="129" t="s">
        <v>490</v>
      </c>
    </row>
    <row r="8" spans="1:8" x14ac:dyDescent="0.2">
      <c r="A8" s="129" t="s">
        <v>491</v>
      </c>
    </row>
    <row r="9" spans="1:8" x14ac:dyDescent="0.2">
      <c r="A9" s="129" t="s">
        <v>2295</v>
      </c>
    </row>
    <row r="10" spans="1:8" x14ac:dyDescent="0.2">
      <c r="B10" s="135" t="s">
        <v>2240</v>
      </c>
      <c r="C10" s="135" t="s">
        <v>101</v>
      </c>
      <c r="D10" s="135">
        <v>2979</v>
      </c>
      <c r="E10" s="135"/>
      <c r="F10" s="135" t="s">
        <v>6</v>
      </c>
      <c r="G10" s="135"/>
      <c r="H10" s="131">
        <v>50</v>
      </c>
    </row>
    <row r="11" spans="1:8" x14ac:dyDescent="0.2">
      <c r="B11" s="135" t="s">
        <v>2426</v>
      </c>
      <c r="C11" s="135" t="s">
        <v>101</v>
      </c>
      <c r="D11" s="135">
        <v>17571</v>
      </c>
      <c r="E11" s="135"/>
      <c r="F11" s="135" t="s">
        <v>6</v>
      </c>
      <c r="G11" s="135" t="s">
        <v>2427</v>
      </c>
      <c r="H11" s="131">
        <v>261</v>
      </c>
    </row>
    <row r="12" spans="1:8" x14ac:dyDescent="0.2">
      <c r="A12" s="129" t="s">
        <v>2296</v>
      </c>
      <c r="H12" s="132">
        <v>311</v>
      </c>
    </row>
    <row r="13" spans="1:8" x14ac:dyDescent="0.2">
      <c r="A13" s="129" t="s">
        <v>1992</v>
      </c>
    </row>
    <row r="14" spans="1:8" x14ac:dyDescent="0.2">
      <c r="A14" s="129" t="s">
        <v>1993</v>
      </c>
    </row>
    <row r="15" spans="1:8" x14ac:dyDescent="0.2">
      <c r="B15" s="135" t="s">
        <v>1803</v>
      </c>
      <c r="C15" s="135" t="s">
        <v>101</v>
      </c>
      <c r="D15" s="135">
        <v>4658</v>
      </c>
      <c r="E15" s="135"/>
      <c r="F15" s="135" t="s">
        <v>6</v>
      </c>
      <c r="G15" s="135" t="s">
        <v>1994</v>
      </c>
      <c r="H15" s="131">
        <v>15400</v>
      </c>
    </row>
    <row r="16" spans="1:8" x14ac:dyDescent="0.2">
      <c r="A16" s="129" t="s">
        <v>1995</v>
      </c>
      <c r="H16" s="132">
        <v>15400</v>
      </c>
    </row>
    <row r="17" spans="1:8" x14ac:dyDescent="0.2">
      <c r="A17" s="129" t="s">
        <v>1996</v>
      </c>
      <c r="H17" s="132">
        <v>15400</v>
      </c>
    </row>
    <row r="18" spans="1:8" x14ac:dyDescent="0.2">
      <c r="A18" s="129" t="s">
        <v>1405</v>
      </c>
    </row>
    <row r="19" spans="1:8" x14ac:dyDescent="0.2">
      <c r="A19" s="129" t="s">
        <v>1406</v>
      </c>
    </row>
    <row r="20" spans="1:8" x14ac:dyDescent="0.2">
      <c r="B20" s="135" t="s">
        <v>821</v>
      </c>
      <c r="C20" s="135" t="s">
        <v>339</v>
      </c>
      <c r="D20" s="135" t="s">
        <v>1533</v>
      </c>
      <c r="E20" s="135"/>
      <c r="F20" s="135" t="s">
        <v>6</v>
      </c>
      <c r="G20" s="135" t="s">
        <v>1569</v>
      </c>
      <c r="H20" s="131">
        <v>20</v>
      </c>
    </row>
    <row r="21" spans="1:8" x14ac:dyDescent="0.2">
      <c r="B21" s="135" t="s">
        <v>1407</v>
      </c>
      <c r="C21" s="135" t="s">
        <v>973</v>
      </c>
      <c r="D21" s="135" t="s">
        <v>1408</v>
      </c>
      <c r="E21" s="135" t="s">
        <v>1409</v>
      </c>
      <c r="F21" s="135" t="s">
        <v>6</v>
      </c>
      <c r="G21" s="135"/>
      <c r="H21" s="131">
        <v>20.399999999999999</v>
      </c>
    </row>
    <row r="22" spans="1:8" x14ac:dyDescent="0.2">
      <c r="B22" s="135" t="s">
        <v>1410</v>
      </c>
      <c r="C22" s="135" t="s">
        <v>973</v>
      </c>
      <c r="D22" s="135" t="s">
        <v>1411</v>
      </c>
      <c r="E22" s="135" t="s">
        <v>1409</v>
      </c>
      <c r="F22" s="135" t="s">
        <v>6</v>
      </c>
      <c r="G22" s="135"/>
      <c r="H22" s="131">
        <v>20.399999999999999</v>
      </c>
    </row>
    <row r="23" spans="1:8" x14ac:dyDescent="0.2">
      <c r="B23" s="135" t="s">
        <v>1412</v>
      </c>
      <c r="C23" s="135" t="s">
        <v>973</v>
      </c>
      <c r="D23" s="135" t="s">
        <v>1413</v>
      </c>
      <c r="E23" s="135" t="s">
        <v>1409</v>
      </c>
      <c r="F23" s="135" t="s">
        <v>6</v>
      </c>
      <c r="G23" s="135"/>
      <c r="H23" s="131">
        <v>20.399999999999999</v>
      </c>
    </row>
    <row r="24" spans="1:8" x14ac:dyDescent="0.2">
      <c r="B24" s="135" t="s">
        <v>1302</v>
      </c>
      <c r="C24" s="135" t="s">
        <v>973</v>
      </c>
      <c r="D24" s="135" t="s">
        <v>1414</v>
      </c>
      <c r="E24" s="135" t="s">
        <v>1409</v>
      </c>
      <c r="F24" s="135" t="s">
        <v>6</v>
      </c>
      <c r="G24" s="135"/>
      <c r="H24" s="131">
        <v>20.399999999999999</v>
      </c>
    </row>
    <row r="25" spans="1:8" x14ac:dyDescent="0.2">
      <c r="B25" s="135" t="s">
        <v>1664</v>
      </c>
      <c r="C25" s="135" t="s">
        <v>973</v>
      </c>
      <c r="D25" s="135" t="s">
        <v>1665</v>
      </c>
      <c r="E25" s="135" t="s">
        <v>1409</v>
      </c>
      <c r="F25" s="135" t="s">
        <v>6</v>
      </c>
      <c r="G25" s="135"/>
      <c r="H25" s="131">
        <v>20.399999999999999</v>
      </c>
    </row>
    <row r="26" spans="1:8" x14ac:dyDescent="0.2">
      <c r="B26" s="135" t="s">
        <v>2195</v>
      </c>
      <c r="C26" s="135" t="s">
        <v>973</v>
      </c>
      <c r="D26" s="135" t="s">
        <v>2196</v>
      </c>
      <c r="E26" s="135" t="s">
        <v>1409</v>
      </c>
      <c r="F26" s="135" t="s">
        <v>6</v>
      </c>
      <c r="G26" s="135"/>
      <c r="H26" s="131">
        <v>20.399999999999999</v>
      </c>
    </row>
    <row r="27" spans="1:8" x14ac:dyDescent="0.2">
      <c r="B27" s="135" t="s">
        <v>1997</v>
      </c>
      <c r="C27" s="135" t="s">
        <v>973</v>
      </c>
      <c r="D27" s="135" t="s">
        <v>1998</v>
      </c>
      <c r="E27" s="135" t="s">
        <v>1409</v>
      </c>
      <c r="F27" s="135" t="s">
        <v>6</v>
      </c>
      <c r="G27" s="135"/>
      <c r="H27" s="131">
        <v>20</v>
      </c>
    </row>
    <row r="28" spans="1:8" x14ac:dyDescent="0.2">
      <c r="B28" s="135" t="s">
        <v>1997</v>
      </c>
      <c r="C28" s="135" t="s">
        <v>973</v>
      </c>
      <c r="D28" s="135" t="s">
        <v>1998</v>
      </c>
      <c r="E28" s="135" t="s">
        <v>1409</v>
      </c>
      <c r="F28" s="135" t="s">
        <v>6</v>
      </c>
      <c r="G28" s="135"/>
      <c r="H28" s="131">
        <v>0.4</v>
      </c>
    </row>
    <row r="29" spans="1:8" x14ac:dyDescent="0.2">
      <c r="B29" s="135" t="s">
        <v>2265</v>
      </c>
      <c r="C29" s="135" t="s">
        <v>973</v>
      </c>
      <c r="D29" s="135" t="s">
        <v>2266</v>
      </c>
      <c r="E29" s="135" t="s">
        <v>1409</v>
      </c>
      <c r="F29" s="135" t="s">
        <v>6</v>
      </c>
      <c r="G29" s="135"/>
      <c r="H29" s="131">
        <v>20.399999999999999</v>
      </c>
    </row>
    <row r="30" spans="1:8" x14ac:dyDescent="0.2">
      <c r="B30" s="135" t="s">
        <v>2382</v>
      </c>
      <c r="C30" s="135" t="s">
        <v>973</v>
      </c>
      <c r="D30" s="135" t="s">
        <v>2384</v>
      </c>
      <c r="E30" s="135" t="s">
        <v>1409</v>
      </c>
      <c r="F30" s="135" t="s">
        <v>6</v>
      </c>
      <c r="G30" s="135"/>
      <c r="H30" s="131">
        <v>20.399999999999999</v>
      </c>
    </row>
    <row r="31" spans="1:8" x14ac:dyDescent="0.2">
      <c r="A31" s="129" t="s">
        <v>1415</v>
      </c>
      <c r="H31" s="132">
        <v>203.6</v>
      </c>
    </row>
    <row r="32" spans="1:8" x14ac:dyDescent="0.2">
      <c r="A32" s="129" t="s">
        <v>1416</v>
      </c>
      <c r="H32" s="132">
        <v>203.6</v>
      </c>
    </row>
    <row r="33" spans="1:8" x14ac:dyDescent="0.2">
      <c r="A33" s="129" t="s">
        <v>492</v>
      </c>
    </row>
    <row r="34" spans="1:8" x14ac:dyDescent="0.2">
      <c r="B34" s="135" t="s">
        <v>824</v>
      </c>
      <c r="C34" s="135" t="s">
        <v>101</v>
      </c>
      <c r="D34" s="135">
        <v>120</v>
      </c>
      <c r="E34" s="135"/>
      <c r="F34" s="135" t="s">
        <v>6</v>
      </c>
      <c r="G34" s="135"/>
      <c r="H34" s="131">
        <v>417</v>
      </c>
    </row>
    <row r="35" spans="1:8" x14ac:dyDescent="0.2">
      <c r="B35" s="135" t="s">
        <v>824</v>
      </c>
      <c r="C35" s="135" t="s">
        <v>101</v>
      </c>
      <c r="D35" s="135">
        <v>2838</v>
      </c>
      <c r="E35" s="135"/>
      <c r="F35" s="135" t="s">
        <v>6</v>
      </c>
      <c r="G35" s="135"/>
      <c r="H35" s="131">
        <v>200</v>
      </c>
    </row>
    <row r="36" spans="1:8" x14ac:dyDescent="0.2">
      <c r="B36" s="135" t="s">
        <v>824</v>
      </c>
      <c r="C36" s="135" t="s">
        <v>101</v>
      </c>
      <c r="D36" s="135">
        <v>6757</v>
      </c>
      <c r="E36" s="135"/>
      <c r="F36" s="135" t="s">
        <v>6</v>
      </c>
      <c r="G36" s="135"/>
      <c r="H36" s="131">
        <v>136</v>
      </c>
    </row>
    <row r="37" spans="1:8" x14ac:dyDescent="0.2">
      <c r="B37" s="135" t="s">
        <v>824</v>
      </c>
      <c r="C37" s="135" t="s">
        <v>101</v>
      </c>
      <c r="D37" s="135">
        <v>998472</v>
      </c>
      <c r="E37" s="135"/>
      <c r="F37" s="135" t="s">
        <v>6</v>
      </c>
      <c r="G37" s="135"/>
      <c r="H37" s="131">
        <v>134.12</v>
      </c>
    </row>
    <row r="38" spans="1:8" x14ac:dyDescent="0.2">
      <c r="B38" s="135" t="s">
        <v>824</v>
      </c>
      <c r="C38" s="135" t="s">
        <v>101</v>
      </c>
      <c r="D38" s="135">
        <v>17287</v>
      </c>
      <c r="E38" s="135"/>
      <c r="F38" s="135" t="s">
        <v>6</v>
      </c>
      <c r="G38" s="135"/>
      <c r="H38" s="131">
        <v>102</v>
      </c>
    </row>
    <row r="39" spans="1:8" x14ac:dyDescent="0.2">
      <c r="B39" s="135" t="s">
        <v>824</v>
      </c>
      <c r="C39" s="135" t="s">
        <v>101</v>
      </c>
      <c r="D39" s="135">
        <v>998480</v>
      </c>
      <c r="E39" s="135"/>
      <c r="F39" s="135" t="s">
        <v>6</v>
      </c>
      <c r="G39" s="135"/>
      <c r="H39" s="131">
        <v>14.68</v>
      </c>
    </row>
    <row r="40" spans="1:8" x14ac:dyDescent="0.2">
      <c r="B40" s="135" t="s">
        <v>824</v>
      </c>
      <c r="C40" s="135" t="s">
        <v>101</v>
      </c>
      <c r="D40" s="135">
        <v>3883</v>
      </c>
      <c r="E40" s="135"/>
      <c r="F40" s="135" t="s">
        <v>6</v>
      </c>
      <c r="G40" s="135"/>
      <c r="H40" s="131">
        <v>800</v>
      </c>
    </row>
    <row r="41" spans="1:8" x14ac:dyDescent="0.2">
      <c r="B41" s="135" t="s">
        <v>954</v>
      </c>
      <c r="C41" s="135" t="s">
        <v>101</v>
      </c>
      <c r="D41" s="135">
        <v>6758</v>
      </c>
      <c r="E41" s="135"/>
      <c r="F41" s="135" t="s">
        <v>6</v>
      </c>
      <c r="G41" s="135"/>
      <c r="H41" s="131">
        <v>119</v>
      </c>
    </row>
    <row r="42" spans="1:8" x14ac:dyDescent="0.2">
      <c r="B42" s="135" t="s">
        <v>954</v>
      </c>
      <c r="C42" s="135" t="s">
        <v>101</v>
      </c>
      <c r="D42" s="135">
        <v>5962</v>
      </c>
      <c r="E42" s="135"/>
      <c r="F42" s="135" t="s">
        <v>6</v>
      </c>
      <c r="G42" s="135"/>
      <c r="H42" s="131">
        <v>573</v>
      </c>
    </row>
    <row r="43" spans="1:8" x14ac:dyDescent="0.2">
      <c r="B43" s="135" t="s">
        <v>955</v>
      </c>
      <c r="C43" s="135" t="s">
        <v>101</v>
      </c>
      <c r="D43" s="135">
        <v>16727</v>
      </c>
      <c r="E43" s="135"/>
      <c r="F43" s="135" t="s">
        <v>6</v>
      </c>
      <c r="G43" s="135"/>
      <c r="H43" s="131">
        <v>178.71</v>
      </c>
    </row>
    <row r="44" spans="1:8" x14ac:dyDescent="0.2">
      <c r="B44" s="135" t="s">
        <v>1183</v>
      </c>
      <c r="C44" s="135" t="s">
        <v>101</v>
      </c>
      <c r="D44" s="135">
        <v>63060829</v>
      </c>
      <c r="E44" s="135"/>
      <c r="F44" s="135" t="s">
        <v>6</v>
      </c>
      <c r="G44" s="135"/>
      <c r="H44" s="131">
        <v>100</v>
      </c>
    </row>
    <row r="45" spans="1:8" x14ac:dyDescent="0.2">
      <c r="B45" s="135" t="s">
        <v>1183</v>
      </c>
      <c r="C45" s="135" t="s">
        <v>101</v>
      </c>
      <c r="D45" s="135">
        <v>6767</v>
      </c>
      <c r="E45" s="135"/>
      <c r="F45" s="135" t="s">
        <v>6</v>
      </c>
      <c r="G45" s="135"/>
      <c r="H45" s="131">
        <v>133</v>
      </c>
    </row>
    <row r="46" spans="1:8" x14ac:dyDescent="0.2">
      <c r="B46" s="135" t="s">
        <v>1179</v>
      </c>
      <c r="C46" s="135" t="s">
        <v>101</v>
      </c>
      <c r="D46" s="135">
        <v>34053</v>
      </c>
      <c r="E46" s="135"/>
      <c r="F46" s="135" t="s">
        <v>6</v>
      </c>
      <c r="G46" s="135"/>
      <c r="H46" s="131">
        <v>51.82</v>
      </c>
    </row>
    <row r="47" spans="1:8" x14ac:dyDescent="0.2">
      <c r="B47" s="135" t="s">
        <v>1362</v>
      </c>
      <c r="C47" s="135" t="s">
        <v>101</v>
      </c>
      <c r="D47" s="135">
        <v>38786158</v>
      </c>
      <c r="E47" s="135"/>
      <c r="F47" s="135" t="s">
        <v>6</v>
      </c>
      <c r="G47" s="135"/>
      <c r="H47" s="131">
        <v>282.02</v>
      </c>
    </row>
    <row r="48" spans="1:8" x14ac:dyDescent="0.2">
      <c r="B48" s="135" t="s">
        <v>1362</v>
      </c>
      <c r="C48" s="135" t="s">
        <v>101</v>
      </c>
      <c r="D48" s="135">
        <v>5977</v>
      </c>
      <c r="E48" s="135"/>
      <c r="F48" s="135" t="s">
        <v>6</v>
      </c>
      <c r="G48" s="135"/>
      <c r="H48" s="131">
        <v>449.41</v>
      </c>
    </row>
    <row r="49" spans="2:8" x14ac:dyDescent="0.2">
      <c r="B49" s="135" t="s">
        <v>1369</v>
      </c>
      <c r="C49" s="135" t="s">
        <v>101</v>
      </c>
      <c r="D49" s="135">
        <v>16787</v>
      </c>
      <c r="E49" s="135"/>
      <c r="F49" s="135" t="s">
        <v>6</v>
      </c>
      <c r="G49" s="135"/>
      <c r="H49" s="131">
        <v>135.11000000000001</v>
      </c>
    </row>
    <row r="50" spans="2:8" x14ac:dyDescent="0.2">
      <c r="B50" s="135" t="s">
        <v>1524</v>
      </c>
      <c r="C50" s="135" t="s">
        <v>101</v>
      </c>
      <c r="D50" s="135">
        <v>3190</v>
      </c>
      <c r="E50" s="135"/>
      <c r="F50" s="135" t="s">
        <v>6</v>
      </c>
      <c r="G50" s="135"/>
      <c r="H50" s="131">
        <v>375.5</v>
      </c>
    </row>
    <row r="51" spans="2:8" x14ac:dyDescent="0.2">
      <c r="B51" s="135" t="s">
        <v>1524</v>
      </c>
      <c r="C51" s="135" t="s">
        <v>101</v>
      </c>
      <c r="D51" s="135">
        <v>6783</v>
      </c>
      <c r="E51" s="135"/>
      <c r="F51" s="135" t="s">
        <v>6</v>
      </c>
      <c r="G51" s="135"/>
      <c r="H51" s="131">
        <v>254</v>
      </c>
    </row>
    <row r="52" spans="2:8" x14ac:dyDescent="0.2">
      <c r="B52" s="135" t="s">
        <v>1524</v>
      </c>
      <c r="C52" s="135" t="s">
        <v>101</v>
      </c>
      <c r="D52" s="135">
        <v>2043</v>
      </c>
      <c r="E52" s="135"/>
      <c r="F52" s="135" t="s">
        <v>6</v>
      </c>
      <c r="G52" s="135"/>
      <c r="H52" s="131">
        <v>35</v>
      </c>
    </row>
    <row r="53" spans="2:8" x14ac:dyDescent="0.2">
      <c r="B53" s="135" t="s">
        <v>1619</v>
      </c>
      <c r="C53" s="135" t="s">
        <v>101</v>
      </c>
      <c r="D53" s="135">
        <v>6794</v>
      </c>
      <c r="E53" s="135"/>
      <c r="F53" s="135" t="s">
        <v>6</v>
      </c>
      <c r="G53" s="135"/>
      <c r="H53" s="131">
        <v>117</v>
      </c>
    </row>
    <row r="54" spans="2:8" x14ac:dyDescent="0.2">
      <c r="B54" s="135" t="s">
        <v>1619</v>
      </c>
      <c r="C54" s="135" t="s">
        <v>101</v>
      </c>
      <c r="D54" s="135">
        <v>16846</v>
      </c>
      <c r="E54" s="135"/>
      <c r="F54" s="135" t="s">
        <v>6</v>
      </c>
      <c r="G54" s="135"/>
      <c r="H54" s="131">
        <v>84.87</v>
      </c>
    </row>
    <row r="55" spans="2:8" x14ac:dyDescent="0.2">
      <c r="B55" s="135" t="s">
        <v>1803</v>
      </c>
      <c r="C55" s="135" t="s">
        <v>101</v>
      </c>
      <c r="D55" s="135">
        <v>5989</v>
      </c>
      <c r="E55" s="135"/>
      <c r="F55" s="135" t="s">
        <v>6</v>
      </c>
      <c r="G55" s="135"/>
      <c r="H55" s="131">
        <v>427</v>
      </c>
    </row>
    <row r="56" spans="2:8" x14ac:dyDescent="0.2">
      <c r="B56" s="135" t="s">
        <v>1803</v>
      </c>
      <c r="C56" s="135" t="s">
        <v>101</v>
      </c>
      <c r="D56" s="135">
        <v>34143</v>
      </c>
      <c r="E56" s="135"/>
      <c r="F56" s="135" t="s">
        <v>6</v>
      </c>
      <c r="G56" s="135"/>
      <c r="H56" s="131">
        <v>202.61</v>
      </c>
    </row>
    <row r="57" spans="2:8" x14ac:dyDescent="0.2">
      <c r="B57" s="135" t="s">
        <v>1803</v>
      </c>
      <c r="C57" s="135" t="s">
        <v>101</v>
      </c>
      <c r="D57" s="135">
        <v>6797</v>
      </c>
      <c r="E57" s="135"/>
      <c r="F57" s="135" t="s">
        <v>6</v>
      </c>
      <c r="G57" s="135"/>
      <c r="H57" s="131">
        <v>124</v>
      </c>
    </row>
    <row r="58" spans="2:8" x14ac:dyDescent="0.2">
      <c r="B58" s="135" t="s">
        <v>1999</v>
      </c>
      <c r="C58" s="135" t="s">
        <v>101</v>
      </c>
      <c r="D58" s="135">
        <v>16913</v>
      </c>
      <c r="E58" s="135"/>
      <c r="F58" s="135" t="s">
        <v>6</v>
      </c>
      <c r="G58" s="135"/>
      <c r="H58" s="131">
        <v>182.25</v>
      </c>
    </row>
    <row r="59" spans="2:8" x14ac:dyDescent="0.2">
      <c r="B59" s="135" t="s">
        <v>2119</v>
      </c>
      <c r="C59" s="135" t="s">
        <v>101</v>
      </c>
      <c r="D59" s="135">
        <v>56990768</v>
      </c>
      <c r="E59" s="135"/>
      <c r="F59" s="135" t="s">
        <v>6</v>
      </c>
      <c r="G59" s="135"/>
      <c r="H59" s="131">
        <v>234.17</v>
      </c>
    </row>
    <row r="60" spans="2:8" x14ac:dyDescent="0.2">
      <c r="B60" s="135" t="s">
        <v>2229</v>
      </c>
      <c r="C60" s="135" t="s">
        <v>101</v>
      </c>
      <c r="D60" s="135">
        <v>6812</v>
      </c>
      <c r="E60" s="135"/>
      <c r="F60" s="135" t="s">
        <v>6</v>
      </c>
      <c r="G60" s="135"/>
      <c r="H60" s="131">
        <v>244</v>
      </c>
    </row>
    <row r="61" spans="2:8" x14ac:dyDescent="0.2">
      <c r="B61" s="135" t="s">
        <v>2240</v>
      </c>
      <c r="C61" s="135" t="s">
        <v>101</v>
      </c>
      <c r="D61" s="135">
        <v>34223</v>
      </c>
      <c r="E61" s="135"/>
      <c r="F61" s="135" t="s">
        <v>6</v>
      </c>
      <c r="G61" s="135"/>
      <c r="H61" s="131">
        <v>97.79</v>
      </c>
    </row>
    <row r="62" spans="2:8" x14ac:dyDescent="0.2">
      <c r="B62" s="135" t="s">
        <v>2426</v>
      </c>
      <c r="C62" s="135" t="s">
        <v>101</v>
      </c>
      <c r="D62" s="135">
        <v>6820</v>
      </c>
      <c r="E62" s="135"/>
      <c r="F62" s="135" t="s">
        <v>6</v>
      </c>
      <c r="G62" s="135"/>
      <c r="H62" s="131">
        <v>113</v>
      </c>
    </row>
    <row r="63" spans="2:8" x14ac:dyDescent="0.2">
      <c r="B63" s="135" t="s">
        <v>2426</v>
      </c>
      <c r="C63" s="135" t="s">
        <v>101</v>
      </c>
      <c r="D63" s="135">
        <v>17240</v>
      </c>
      <c r="E63" s="135"/>
      <c r="F63" s="135" t="s">
        <v>6</v>
      </c>
      <c r="G63" s="135"/>
      <c r="H63" s="131">
        <v>121.98</v>
      </c>
    </row>
    <row r="64" spans="2:8" x14ac:dyDescent="0.2">
      <c r="B64" s="135" t="s">
        <v>2599</v>
      </c>
      <c r="C64" s="135" t="s">
        <v>101</v>
      </c>
      <c r="D64" s="135">
        <v>998700</v>
      </c>
      <c r="E64" s="135"/>
      <c r="F64" s="135" t="s">
        <v>6</v>
      </c>
      <c r="G64" s="135"/>
      <c r="H64" s="131">
        <v>85.26</v>
      </c>
    </row>
    <row r="65" spans="1:8" x14ac:dyDescent="0.2">
      <c r="B65" s="135" t="s">
        <v>2599</v>
      </c>
      <c r="C65" s="135" t="s">
        <v>101</v>
      </c>
      <c r="D65" s="135">
        <v>17278</v>
      </c>
      <c r="E65" s="135"/>
      <c r="F65" s="135" t="s">
        <v>6</v>
      </c>
      <c r="G65" s="135"/>
      <c r="H65" s="131">
        <v>114.41</v>
      </c>
    </row>
    <row r="66" spans="1:8" x14ac:dyDescent="0.2">
      <c r="B66" s="135" t="s">
        <v>2780</v>
      </c>
      <c r="C66" s="135" t="s">
        <v>101</v>
      </c>
      <c r="D66" s="135">
        <v>6012</v>
      </c>
      <c r="E66" s="135"/>
      <c r="F66" s="135" t="s">
        <v>6</v>
      </c>
      <c r="G66" s="135"/>
      <c r="H66" s="131">
        <v>443</v>
      </c>
    </row>
    <row r="67" spans="1:8" x14ac:dyDescent="0.2">
      <c r="B67" s="135" t="s">
        <v>2781</v>
      </c>
      <c r="C67" s="135" t="s">
        <v>101</v>
      </c>
      <c r="D67" s="135">
        <v>6840</v>
      </c>
      <c r="E67" s="135"/>
      <c r="F67" s="135" t="s">
        <v>6</v>
      </c>
      <c r="G67" s="135"/>
      <c r="H67" s="131">
        <v>243</v>
      </c>
    </row>
    <row r="68" spans="1:8" x14ac:dyDescent="0.2">
      <c r="B68" s="135" t="s">
        <v>2781</v>
      </c>
      <c r="C68" s="135" t="s">
        <v>101</v>
      </c>
      <c r="D68" s="135">
        <v>17315</v>
      </c>
      <c r="E68" s="135"/>
      <c r="F68" s="135" t="s">
        <v>6</v>
      </c>
      <c r="G68" s="135"/>
      <c r="H68" s="131">
        <v>120.35</v>
      </c>
    </row>
    <row r="69" spans="1:8" x14ac:dyDescent="0.2">
      <c r="B69" s="135" t="s">
        <v>2782</v>
      </c>
      <c r="C69" s="135" t="s">
        <v>101</v>
      </c>
      <c r="D69" s="135">
        <v>17337</v>
      </c>
      <c r="E69" s="135"/>
      <c r="F69" s="135" t="s">
        <v>6</v>
      </c>
      <c r="G69" s="135"/>
      <c r="H69" s="131">
        <v>133.56</v>
      </c>
    </row>
    <row r="70" spans="1:8" x14ac:dyDescent="0.2">
      <c r="B70" s="135" t="s">
        <v>2782</v>
      </c>
      <c r="C70" s="135" t="s">
        <v>101</v>
      </c>
      <c r="D70" s="135">
        <v>34362</v>
      </c>
      <c r="E70" s="135"/>
      <c r="F70" s="135" t="s">
        <v>6</v>
      </c>
      <c r="G70" s="135"/>
      <c r="H70" s="131">
        <v>173.42</v>
      </c>
    </row>
    <row r="71" spans="1:8" x14ac:dyDescent="0.2">
      <c r="B71" s="135" t="s">
        <v>2782</v>
      </c>
      <c r="C71" s="135" t="s">
        <v>101</v>
      </c>
      <c r="D71" s="135">
        <v>2008</v>
      </c>
      <c r="E71" s="135"/>
      <c r="F71" s="135" t="s">
        <v>6</v>
      </c>
      <c r="G71" s="135"/>
      <c r="H71" s="131">
        <v>108</v>
      </c>
    </row>
    <row r="72" spans="1:8" x14ac:dyDescent="0.2">
      <c r="A72" s="129" t="s">
        <v>493</v>
      </c>
      <c r="H72" s="132">
        <v>7860.04</v>
      </c>
    </row>
    <row r="73" spans="1:8" x14ac:dyDescent="0.2">
      <c r="A73" s="129" t="s">
        <v>1570</v>
      </c>
    </row>
    <row r="74" spans="1:8" x14ac:dyDescent="0.2">
      <c r="B74" s="135" t="s">
        <v>1507</v>
      </c>
      <c r="C74" s="135" t="s">
        <v>339</v>
      </c>
      <c r="D74" s="135" t="s">
        <v>1571</v>
      </c>
      <c r="E74" s="135"/>
      <c r="F74" s="135" t="s">
        <v>6</v>
      </c>
      <c r="G74" s="135"/>
      <c r="H74" s="131">
        <v>5000</v>
      </c>
    </row>
    <row r="75" spans="1:8" x14ac:dyDescent="0.2">
      <c r="A75" s="129" t="s">
        <v>1572</v>
      </c>
      <c r="H75" s="132">
        <v>5000</v>
      </c>
    </row>
    <row r="76" spans="1:8" x14ac:dyDescent="0.2">
      <c r="A76" s="129" t="s">
        <v>745</v>
      </c>
    </row>
    <row r="77" spans="1:8" x14ac:dyDescent="0.2">
      <c r="B77" s="135" t="s">
        <v>824</v>
      </c>
      <c r="C77" s="135" t="s">
        <v>101</v>
      </c>
      <c r="D77" s="135">
        <v>2685</v>
      </c>
      <c r="E77" s="135"/>
      <c r="F77" s="135" t="s">
        <v>6</v>
      </c>
      <c r="G77" s="135" t="s">
        <v>839</v>
      </c>
      <c r="H77" s="131">
        <v>17</v>
      </c>
    </row>
    <row r="78" spans="1:8" x14ac:dyDescent="0.2">
      <c r="B78" s="135" t="s">
        <v>824</v>
      </c>
      <c r="C78" s="135" t="s">
        <v>101</v>
      </c>
      <c r="D78" s="135">
        <v>11098</v>
      </c>
      <c r="E78" s="135"/>
      <c r="F78" s="135" t="s">
        <v>6</v>
      </c>
      <c r="G78" s="135" t="s">
        <v>839</v>
      </c>
      <c r="H78" s="131">
        <v>100</v>
      </c>
    </row>
    <row r="79" spans="1:8" x14ac:dyDescent="0.2">
      <c r="B79" s="135" t="s">
        <v>824</v>
      </c>
      <c r="C79" s="135" t="s">
        <v>101</v>
      </c>
      <c r="D79" s="135">
        <v>2312</v>
      </c>
      <c r="E79" s="135"/>
      <c r="F79" s="135" t="s">
        <v>6</v>
      </c>
      <c r="G79" s="135" t="s">
        <v>839</v>
      </c>
      <c r="H79" s="131">
        <v>40</v>
      </c>
    </row>
    <row r="80" spans="1:8" x14ac:dyDescent="0.2">
      <c r="B80" s="135" t="s">
        <v>824</v>
      </c>
      <c r="C80" s="135" t="s">
        <v>101</v>
      </c>
      <c r="D80" s="135">
        <v>11834</v>
      </c>
      <c r="E80" s="135"/>
      <c r="F80" s="135" t="s">
        <v>6</v>
      </c>
      <c r="G80" s="135" t="s">
        <v>839</v>
      </c>
      <c r="H80" s="131">
        <v>166.92</v>
      </c>
    </row>
    <row r="81" spans="1:8" x14ac:dyDescent="0.2">
      <c r="A81" s="129" t="s">
        <v>746</v>
      </c>
      <c r="H81" s="132">
        <v>323.92</v>
      </c>
    </row>
    <row r="82" spans="1:8" x14ac:dyDescent="0.2">
      <c r="A82" s="129" t="s">
        <v>2428</v>
      </c>
    </row>
    <row r="83" spans="1:8" x14ac:dyDescent="0.2">
      <c r="B83" s="135" t="s">
        <v>2399</v>
      </c>
      <c r="C83" s="135" t="s">
        <v>1954</v>
      </c>
      <c r="D83" s="135"/>
      <c r="E83" s="135"/>
      <c r="F83" s="135" t="s">
        <v>6</v>
      </c>
      <c r="G83" s="135" t="s">
        <v>2429</v>
      </c>
      <c r="H83" s="131">
        <v>150</v>
      </c>
    </row>
    <row r="84" spans="1:8" x14ac:dyDescent="0.2">
      <c r="A84" s="129" t="s">
        <v>2430</v>
      </c>
      <c r="H84" s="132">
        <v>150</v>
      </c>
    </row>
    <row r="85" spans="1:8" x14ac:dyDescent="0.2">
      <c r="A85" s="129" t="s">
        <v>494</v>
      </c>
      <c r="H85" s="132">
        <v>29248.560000000001</v>
      </c>
    </row>
    <row r="86" spans="1:8" x14ac:dyDescent="0.2">
      <c r="A86" s="129" t="s">
        <v>495</v>
      </c>
      <c r="H86" s="132">
        <v>29248.560000000001</v>
      </c>
    </row>
    <row r="87" spans="1:8" x14ac:dyDescent="0.2">
      <c r="A87" s="129" t="s">
        <v>1073</v>
      </c>
    </row>
    <row r="88" spans="1:8" x14ac:dyDescent="0.2">
      <c r="A88" s="129" t="s">
        <v>1074</v>
      </c>
    </row>
    <row r="89" spans="1:8" x14ac:dyDescent="0.2">
      <c r="A89" s="129" t="s">
        <v>2431</v>
      </c>
    </row>
    <row r="90" spans="1:8" x14ac:dyDescent="0.2">
      <c r="B90" s="135" t="s">
        <v>1999</v>
      </c>
      <c r="C90" s="135" t="s">
        <v>547</v>
      </c>
      <c r="D90" s="135">
        <v>72424</v>
      </c>
      <c r="E90" s="135" t="s">
        <v>116</v>
      </c>
      <c r="F90" s="135" t="s">
        <v>6</v>
      </c>
      <c r="G90" s="135" t="s">
        <v>2018</v>
      </c>
      <c r="H90" s="131">
        <v>3000</v>
      </c>
    </row>
    <row r="91" spans="1:8" x14ac:dyDescent="0.2">
      <c r="A91" s="129" t="s">
        <v>2432</v>
      </c>
      <c r="H91" s="132">
        <v>3000</v>
      </c>
    </row>
    <row r="92" spans="1:8" x14ac:dyDescent="0.2">
      <c r="A92" s="129" t="s">
        <v>2433</v>
      </c>
    </row>
    <row r="93" spans="1:8" x14ac:dyDescent="0.2">
      <c r="B93" s="135" t="s">
        <v>2434</v>
      </c>
      <c r="C93" s="135" t="s">
        <v>547</v>
      </c>
      <c r="D93" s="135">
        <v>100924</v>
      </c>
      <c r="E93" s="135" t="s">
        <v>2012</v>
      </c>
      <c r="F93" s="135" t="s">
        <v>6</v>
      </c>
      <c r="G93" s="135" t="s">
        <v>2435</v>
      </c>
      <c r="H93" s="131">
        <v>500</v>
      </c>
    </row>
    <row r="94" spans="1:8" x14ac:dyDescent="0.2">
      <c r="A94" s="129" t="s">
        <v>2436</v>
      </c>
      <c r="H94" s="132">
        <v>500</v>
      </c>
    </row>
    <row r="95" spans="1:8" x14ac:dyDescent="0.2">
      <c r="A95" s="129" t="s">
        <v>1075</v>
      </c>
    </row>
    <row r="96" spans="1:8" x14ac:dyDescent="0.2">
      <c r="B96" s="135" t="s">
        <v>1066</v>
      </c>
      <c r="C96" s="135" t="s">
        <v>547</v>
      </c>
      <c r="D96" s="135">
        <v>20624</v>
      </c>
      <c r="E96" s="135" t="s">
        <v>1078</v>
      </c>
      <c r="F96" s="135" t="s">
        <v>6</v>
      </c>
      <c r="G96" s="135" t="s">
        <v>1079</v>
      </c>
      <c r="H96" s="131">
        <v>2835.57</v>
      </c>
    </row>
    <row r="97" spans="1:8" x14ac:dyDescent="0.2">
      <c r="B97" s="135" t="s">
        <v>1066</v>
      </c>
      <c r="C97" s="135" t="s">
        <v>547</v>
      </c>
      <c r="D97" s="135">
        <v>20624</v>
      </c>
      <c r="E97" s="135" t="s">
        <v>1076</v>
      </c>
      <c r="F97" s="135" t="s">
        <v>6</v>
      </c>
      <c r="G97" s="135" t="s">
        <v>1077</v>
      </c>
      <c r="H97" s="131">
        <v>768</v>
      </c>
    </row>
    <row r="98" spans="1:8" x14ac:dyDescent="0.2">
      <c r="B98" s="135" t="s">
        <v>1386</v>
      </c>
      <c r="C98" s="135" t="s">
        <v>547</v>
      </c>
      <c r="D98" s="135">
        <v>40224</v>
      </c>
      <c r="E98" s="135" t="s">
        <v>1417</v>
      </c>
      <c r="F98" s="135" t="s">
        <v>6</v>
      </c>
      <c r="G98" s="135" t="s">
        <v>1418</v>
      </c>
      <c r="H98" s="131">
        <v>965.25</v>
      </c>
    </row>
    <row r="99" spans="1:8" x14ac:dyDescent="0.2">
      <c r="B99" s="135" t="s">
        <v>1830</v>
      </c>
      <c r="C99" s="135" t="s">
        <v>339</v>
      </c>
      <c r="D99" s="135" t="s">
        <v>2000</v>
      </c>
      <c r="E99" s="135"/>
      <c r="F99" s="135" t="s">
        <v>6</v>
      </c>
      <c r="G99" s="135" t="s">
        <v>2001</v>
      </c>
      <c r="H99" s="131">
        <v>-3053.24</v>
      </c>
    </row>
    <row r="100" spans="1:8" x14ac:dyDescent="0.2">
      <c r="A100" s="129" t="s">
        <v>1080</v>
      </c>
      <c r="H100" s="132">
        <v>1515.58</v>
      </c>
    </row>
    <row r="101" spans="1:8" x14ac:dyDescent="0.2">
      <c r="A101" s="129" t="s">
        <v>2600</v>
      </c>
    </row>
    <row r="102" spans="1:8" x14ac:dyDescent="0.2">
      <c r="A102" s="129" t="s">
        <v>2601</v>
      </c>
    </row>
    <row r="103" spans="1:8" x14ac:dyDescent="0.2">
      <c r="B103" s="135" t="s">
        <v>2556</v>
      </c>
      <c r="C103" s="135" t="s">
        <v>339</v>
      </c>
      <c r="D103" s="135" t="s">
        <v>2557</v>
      </c>
      <c r="E103" s="135"/>
      <c r="F103" s="135" t="s">
        <v>6</v>
      </c>
      <c r="G103" s="135" t="s">
        <v>2558</v>
      </c>
      <c r="H103" s="131">
        <v>9100</v>
      </c>
    </row>
    <row r="104" spans="1:8" x14ac:dyDescent="0.2">
      <c r="A104" s="129" t="s">
        <v>2602</v>
      </c>
      <c r="H104" s="132">
        <v>9100</v>
      </c>
    </row>
    <row r="105" spans="1:8" x14ac:dyDescent="0.2">
      <c r="A105" s="129" t="s">
        <v>2603</v>
      </c>
      <c r="H105" s="132">
        <v>9100</v>
      </c>
    </row>
    <row r="106" spans="1:8" x14ac:dyDescent="0.2">
      <c r="A106" s="129" t="s">
        <v>1081</v>
      </c>
      <c r="H106" s="132">
        <v>14115.58</v>
      </c>
    </row>
    <row r="107" spans="1:8" x14ac:dyDescent="0.2">
      <c r="A107" s="129" t="s">
        <v>2783</v>
      </c>
    </row>
    <row r="108" spans="1:8" x14ac:dyDescent="0.2">
      <c r="B108" s="135" t="s">
        <v>2741</v>
      </c>
      <c r="C108" s="135" t="s">
        <v>339</v>
      </c>
      <c r="D108" s="135" t="s">
        <v>2784</v>
      </c>
      <c r="E108" s="135"/>
      <c r="F108" s="135" t="s">
        <v>6</v>
      </c>
      <c r="G108" s="135" t="s">
        <v>2785</v>
      </c>
      <c r="H108" s="131">
        <v>3771.33</v>
      </c>
    </row>
    <row r="109" spans="1:8" x14ac:dyDescent="0.2">
      <c r="B109" s="135" t="s">
        <v>2741</v>
      </c>
      <c r="C109" s="135" t="s">
        <v>339</v>
      </c>
      <c r="D109" s="135" t="s">
        <v>2784</v>
      </c>
      <c r="E109" s="135"/>
      <c r="F109" s="135" t="s">
        <v>6</v>
      </c>
      <c r="G109" s="135" t="s">
        <v>2785</v>
      </c>
      <c r="H109" s="131">
        <v>1130.69</v>
      </c>
    </row>
    <row r="110" spans="1:8" x14ac:dyDescent="0.2">
      <c r="B110" s="135" t="s">
        <v>2741</v>
      </c>
      <c r="C110" s="135" t="s">
        <v>339</v>
      </c>
      <c r="D110" s="135" t="s">
        <v>2784</v>
      </c>
      <c r="E110" s="135"/>
      <c r="F110" s="135" t="s">
        <v>6</v>
      </c>
      <c r="G110" s="135" t="s">
        <v>2785</v>
      </c>
      <c r="H110" s="131">
        <v>261.98</v>
      </c>
    </row>
    <row r="111" spans="1:8" x14ac:dyDescent="0.2">
      <c r="A111" s="129" t="s">
        <v>2786</v>
      </c>
      <c r="H111" s="132">
        <v>5164</v>
      </c>
    </row>
    <row r="112" spans="1:8" x14ac:dyDescent="0.2">
      <c r="A112" s="129" t="s">
        <v>1082</v>
      </c>
      <c r="H112" s="132">
        <v>19279.580000000002</v>
      </c>
    </row>
    <row r="113" spans="1:8" x14ac:dyDescent="0.2">
      <c r="A113" s="129" t="s">
        <v>11</v>
      </c>
      <c r="H113" s="132">
        <v>9968.98</v>
      </c>
    </row>
    <row r="116" spans="1:8" x14ac:dyDescent="0.2">
      <c r="A116" s="334" t="s">
        <v>2787</v>
      </c>
      <c r="B116" s="335"/>
      <c r="C116" s="335"/>
      <c r="D116" s="335"/>
      <c r="E116" s="335"/>
      <c r="F116" s="335"/>
      <c r="G116" s="335"/>
      <c r="H116" s="335"/>
    </row>
  </sheetData>
  <mergeCells count="4">
    <mergeCell ref="A116:H116"/>
    <mergeCell ref="A1:H1"/>
    <mergeCell ref="A2:H2"/>
    <mergeCell ref="A3:H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525"/>
  <sheetViews>
    <sheetView workbookViewId="0">
      <selection sqref="A1:H1"/>
    </sheetView>
  </sheetViews>
  <sheetFormatPr baseColWidth="10" defaultColWidth="8.83203125" defaultRowHeight="15" x14ac:dyDescent="0.2"/>
  <cols>
    <col min="1" max="1" width="40.6640625" customWidth="1"/>
    <col min="2" max="2" width="9.5" customWidth="1"/>
    <col min="3" max="3" width="16.33203125" customWidth="1"/>
    <col min="4" max="4" width="18" customWidth="1"/>
    <col min="5" max="5" width="47.33203125" customWidth="1"/>
    <col min="6" max="6" width="7.6640625" customWidth="1"/>
    <col min="7" max="7" width="60.83203125" customWidth="1"/>
    <col min="8" max="8" width="11.1640625" customWidth="1"/>
  </cols>
  <sheetData>
    <row r="1" spans="1:8" ht="18" x14ac:dyDescent="0.2">
      <c r="A1" s="336" t="s">
        <v>64</v>
      </c>
      <c r="B1" s="335"/>
      <c r="C1" s="335"/>
      <c r="D1" s="335"/>
      <c r="E1" s="335"/>
      <c r="F1" s="335"/>
      <c r="G1" s="335"/>
      <c r="H1" s="335"/>
    </row>
    <row r="2" spans="1:8" ht="18" x14ac:dyDescent="0.2">
      <c r="A2" s="336" t="s">
        <v>332</v>
      </c>
      <c r="B2" s="335"/>
      <c r="C2" s="335"/>
      <c r="D2" s="335"/>
      <c r="E2" s="335"/>
      <c r="F2" s="335"/>
      <c r="G2" s="335"/>
      <c r="H2" s="335"/>
    </row>
    <row r="3" spans="1:8" x14ac:dyDescent="0.2">
      <c r="A3" s="337" t="s">
        <v>2675</v>
      </c>
      <c r="B3" s="335"/>
      <c r="C3" s="335"/>
      <c r="D3" s="335"/>
      <c r="E3" s="335"/>
      <c r="F3" s="335"/>
      <c r="G3" s="335"/>
      <c r="H3" s="335"/>
    </row>
    <row r="5" spans="1:8" x14ac:dyDescent="0.2">
      <c r="B5" s="128" t="s">
        <v>97</v>
      </c>
      <c r="C5" s="128" t="s">
        <v>333</v>
      </c>
      <c r="D5" s="128" t="s">
        <v>98</v>
      </c>
      <c r="E5" s="128" t="s">
        <v>99</v>
      </c>
      <c r="F5" s="128" t="s">
        <v>152</v>
      </c>
      <c r="G5" s="128" t="s">
        <v>334</v>
      </c>
      <c r="H5" s="128" t="s">
        <v>149</v>
      </c>
    </row>
    <row r="6" spans="1:8" x14ac:dyDescent="0.2">
      <c r="A6" s="129" t="s">
        <v>335</v>
      </c>
    </row>
    <row r="7" spans="1:8" x14ac:dyDescent="0.2">
      <c r="A7" s="129" t="s">
        <v>336</v>
      </c>
    </row>
    <row r="8" spans="1:8" x14ac:dyDescent="0.2">
      <c r="A8" s="129" t="s">
        <v>349</v>
      </c>
    </row>
    <row r="9" spans="1:8" x14ac:dyDescent="0.2">
      <c r="A9" s="129" t="s">
        <v>967</v>
      </c>
    </row>
    <row r="10" spans="1:8" x14ac:dyDescent="0.2">
      <c r="A10" s="129" t="s">
        <v>968</v>
      </c>
    </row>
    <row r="11" spans="1:8" x14ac:dyDescent="0.2">
      <c r="B11" s="135" t="s">
        <v>894</v>
      </c>
      <c r="C11" s="135" t="s">
        <v>339</v>
      </c>
      <c r="D11" s="135" t="s">
        <v>969</v>
      </c>
      <c r="E11" s="135"/>
      <c r="F11" s="135" t="s">
        <v>5</v>
      </c>
      <c r="G11" s="135" t="s">
        <v>971</v>
      </c>
      <c r="H11" s="131">
        <v>500</v>
      </c>
    </row>
    <row r="12" spans="1:8" x14ac:dyDescent="0.2">
      <c r="B12" s="135" t="s">
        <v>894</v>
      </c>
      <c r="C12" s="135" t="s">
        <v>339</v>
      </c>
      <c r="D12" s="135" t="s">
        <v>969</v>
      </c>
      <c r="E12" s="135"/>
      <c r="F12" s="135" t="s">
        <v>5</v>
      </c>
      <c r="G12" s="135" t="s">
        <v>970</v>
      </c>
      <c r="H12" s="131">
        <v>250</v>
      </c>
    </row>
    <row r="13" spans="1:8" x14ac:dyDescent="0.2">
      <c r="B13" s="135" t="s">
        <v>824</v>
      </c>
      <c r="C13" s="135" t="s">
        <v>339</v>
      </c>
      <c r="D13" s="135" t="s">
        <v>825</v>
      </c>
      <c r="E13" s="135"/>
      <c r="F13" s="135" t="s">
        <v>5</v>
      </c>
      <c r="G13" s="135"/>
      <c r="H13" s="131">
        <v>1800</v>
      </c>
    </row>
    <row r="14" spans="1:8" x14ac:dyDescent="0.2">
      <c r="B14" s="135" t="s">
        <v>824</v>
      </c>
      <c r="C14" s="135" t="s">
        <v>339</v>
      </c>
      <c r="D14" s="135" t="s">
        <v>825</v>
      </c>
      <c r="E14" s="135"/>
      <c r="F14" s="135" t="s">
        <v>5</v>
      </c>
      <c r="G14" s="135"/>
      <c r="H14" s="131">
        <v>750</v>
      </c>
    </row>
    <row r="15" spans="1:8" x14ac:dyDescent="0.2">
      <c r="B15" s="135" t="s">
        <v>824</v>
      </c>
      <c r="C15" s="135" t="s">
        <v>339</v>
      </c>
      <c r="D15" s="135" t="s">
        <v>825</v>
      </c>
      <c r="E15" s="135"/>
      <c r="F15" s="135" t="s">
        <v>5</v>
      </c>
      <c r="G15" s="135"/>
      <c r="H15" s="131">
        <v>675</v>
      </c>
    </row>
    <row r="16" spans="1:8" x14ac:dyDescent="0.2">
      <c r="B16" s="135" t="s">
        <v>824</v>
      </c>
      <c r="C16" s="135" t="s">
        <v>339</v>
      </c>
      <c r="D16" s="135" t="s">
        <v>825</v>
      </c>
      <c r="E16" s="135"/>
      <c r="F16" s="135" t="s">
        <v>5</v>
      </c>
      <c r="G16" s="135"/>
      <c r="H16" s="131">
        <v>500</v>
      </c>
    </row>
    <row r="17" spans="2:8" x14ac:dyDescent="0.2">
      <c r="B17" s="135" t="s">
        <v>824</v>
      </c>
      <c r="C17" s="135" t="s">
        <v>339</v>
      </c>
      <c r="D17" s="135" t="s">
        <v>825</v>
      </c>
      <c r="E17" s="135"/>
      <c r="F17" s="135" t="s">
        <v>5</v>
      </c>
      <c r="G17" s="135"/>
      <c r="H17" s="131">
        <v>350</v>
      </c>
    </row>
    <row r="18" spans="2:8" x14ac:dyDescent="0.2">
      <c r="B18" s="135" t="s">
        <v>824</v>
      </c>
      <c r="C18" s="135" t="s">
        <v>339</v>
      </c>
      <c r="D18" s="135" t="s">
        <v>825</v>
      </c>
      <c r="E18" s="135"/>
      <c r="F18" s="135" t="s">
        <v>5</v>
      </c>
      <c r="G18" s="135"/>
      <c r="H18" s="131">
        <v>350</v>
      </c>
    </row>
    <row r="19" spans="2:8" x14ac:dyDescent="0.2">
      <c r="B19" s="135" t="s">
        <v>824</v>
      </c>
      <c r="C19" s="135" t="s">
        <v>339</v>
      </c>
      <c r="D19" s="135" t="s">
        <v>825</v>
      </c>
      <c r="E19" s="135"/>
      <c r="F19" s="135" t="s">
        <v>5</v>
      </c>
      <c r="G19" s="135"/>
      <c r="H19" s="131">
        <v>250</v>
      </c>
    </row>
    <row r="20" spans="2:8" x14ac:dyDescent="0.2">
      <c r="B20" s="135" t="s">
        <v>824</v>
      </c>
      <c r="C20" s="135" t="s">
        <v>339</v>
      </c>
      <c r="D20" s="135" t="s">
        <v>825</v>
      </c>
      <c r="E20" s="135"/>
      <c r="F20" s="135" t="s">
        <v>5</v>
      </c>
      <c r="G20" s="135"/>
      <c r="H20" s="131">
        <v>250</v>
      </c>
    </row>
    <row r="21" spans="2:8" x14ac:dyDescent="0.2">
      <c r="B21" s="135" t="s">
        <v>824</v>
      </c>
      <c r="C21" s="135" t="s">
        <v>339</v>
      </c>
      <c r="D21" s="135" t="s">
        <v>825</v>
      </c>
      <c r="E21" s="135"/>
      <c r="F21" s="135" t="s">
        <v>5</v>
      </c>
      <c r="G21" s="135"/>
      <c r="H21" s="131">
        <v>175</v>
      </c>
    </row>
    <row r="22" spans="2:8" x14ac:dyDescent="0.2">
      <c r="B22" s="135" t="s">
        <v>824</v>
      </c>
      <c r="C22" s="135" t="s">
        <v>339</v>
      </c>
      <c r="D22" s="135" t="s">
        <v>825</v>
      </c>
      <c r="E22" s="135"/>
      <c r="F22" s="135" t="s">
        <v>5</v>
      </c>
      <c r="G22" s="135"/>
      <c r="H22" s="131">
        <v>175</v>
      </c>
    </row>
    <row r="23" spans="2:8" x14ac:dyDescent="0.2">
      <c r="B23" s="135" t="s">
        <v>824</v>
      </c>
      <c r="C23" s="135" t="s">
        <v>339</v>
      </c>
      <c r="D23" s="135" t="s">
        <v>825</v>
      </c>
      <c r="E23" s="135"/>
      <c r="F23" s="135" t="s">
        <v>5</v>
      </c>
      <c r="G23" s="135"/>
      <c r="H23" s="131">
        <v>175</v>
      </c>
    </row>
    <row r="24" spans="2:8" x14ac:dyDescent="0.2">
      <c r="B24" s="135" t="s">
        <v>824</v>
      </c>
      <c r="C24" s="135" t="s">
        <v>339</v>
      </c>
      <c r="D24" s="135" t="s">
        <v>825</v>
      </c>
      <c r="E24" s="135"/>
      <c r="F24" s="135" t="s">
        <v>5</v>
      </c>
      <c r="G24" s="135"/>
      <c r="H24" s="131">
        <v>175</v>
      </c>
    </row>
    <row r="25" spans="2:8" x14ac:dyDescent="0.2">
      <c r="B25" s="135" t="s">
        <v>824</v>
      </c>
      <c r="C25" s="135" t="s">
        <v>339</v>
      </c>
      <c r="D25" s="135" t="s">
        <v>825</v>
      </c>
      <c r="E25" s="135"/>
      <c r="F25" s="135" t="s">
        <v>5</v>
      </c>
      <c r="G25" s="135"/>
      <c r="H25" s="131">
        <v>174.39</v>
      </c>
    </row>
    <row r="26" spans="2:8" x14ac:dyDescent="0.2">
      <c r="B26" s="135" t="s">
        <v>972</v>
      </c>
      <c r="C26" s="135" t="s">
        <v>339</v>
      </c>
      <c r="D26" s="135" t="s">
        <v>982</v>
      </c>
      <c r="E26" s="135"/>
      <c r="F26" s="135" t="s">
        <v>5</v>
      </c>
      <c r="G26" s="135" t="s">
        <v>985</v>
      </c>
      <c r="H26" s="131">
        <v>1300</v>
      </c>
    </row>
    <row r="27" spans="2:8" x14ac:dyDescent="0.2">
      <c r="B27" s="135" t="s">
        <v>972</v>
      </c>
      <c r="C27" s="135" t="s">
        <v>339</v>
      </c>
      <c r="D27" s="135" t="s">
        <v>982</v>
      </c>
      <c r="E27" s="135"/>
      <c r="F27" s="135" t="s">
        <v>5</v>
      </c>
      <c r="G27" s="135" t="s">
        <v>986</v>
      </c>
      <c r="H27" s="131">
        <v>800</v>
      </c>
    </row>
    <row r="28" spans="2:8" x14ac:dyDescent="0.2">
      <c r="B28" s="135" t="s">
        <v>972</v>
      </c>
      <c r="C28" s="135" t="s">
        <v>339</v>
      </c>
      <c r="D28" s="135" t="s">
        <v>982</v>
      </c>
      <c r="E28" s="135"/>
      <c r="F28" s="135" t="s">
        <v>5</v>
      </c>
      <c r="G28" s="135" t="s">
        <v>984</v>
      </c>
      <c r="H28" s="131">
        <v>800</v>
      </c>
    </row>
    <row r="29" spans="2:8" x14ac:dyDescent="0.2">
      <c r="B29" s="135" t="s">
        <v>972</v>
      </c>
      <c r="C29" s="135" t="s">
        <v>339</v>
      </c>
      <c r="D29" s="135" t="s">
        <v>982</v>
      </c>
      <c r="E29" s="135"/>
      <c r="F29" s="135" t="s">
        <v>5</v>
      </c>
      <c r="G29" s="135" t="s">
        <v>991</v>
      </c>
      <c r="H29" s="131">
        <v>675</v>
      </c>
    </row>
    <row r="30" spans="2:8" x14ac:dyDescent="0.2">
      <c r="B30" s="135" t="s">
        <v>972</v>
      </c>
      <c r="C30" s="135" t="s">
        <v>339</v>
      </c>
      <c r="D30" s="135" t="s">
        <v>982</v>
      </c>
      <c r="E30" s="135"/>
      <c r="F30" s="135" t="s">
        <v>5</v>
      </c>
      <c r="G30" s="135" t="s">
        <v>990</v>
      </c>
      <c r="H30" s="131">
        <v>250</v>
      </c>
    </row>
    <row r="31" spans="2:8" x14ac:dyDescent="0.2">
      <c r="B31" s="135" t="s">
        <v>972</v>
      </c>
      <c r="C31" s="135" t="s">
        <v>339</v>
      </c>
      <c r="D31" s="135" t="s">
        <v>982</v>
      </c>
      <c r="E31" s="135"/>
      <c r="F31" s="135" t="s">
        <v>5</v>
      </c>
      <c r="G31" s="135" t="s">
        <v>988</v>
      </c>
      <c r="H31" s="131">
        <v>250</v>
      </c>
    </row>
    <row r="32" spans="2:8" x14ac:dyDescent="0.2">
      <c r="B32" s="135" t="s">
        <v>972</v>
      </c>
      <c r="C32" s="135" t="s">
        <v>339</v>
      </c>
      <c r="D32" s="135" t="s">
        <v>982</v>
      </c>
      <c r="E32" s="135"/>
      <c r="F32" s="135" t="s">
        <v>5</v>
      </c>
      <c r="G32" s="135" t="s">
        <v>987</v>
      </c>
      <c r="H32" s="131">
        <v>250</v>
      </c>
    </row>
    <row r="33" spans="2:8" x14ac:dyDescent="0.2">
      <c r="B33" s="135" t="s">
        <v>972</v>
      </c>
      <c r="C33" s="135" t="s">
        <v>339</v>
      </c>
      <c r="D33" s="135" t="s">
        <v>982</v>
      </c>
      <c r="E33" s="135"/>
      <c r="F33" s="135" t="s">
        <v>5</v>
      </c>
      <c r="G33" s="135" t="s">
        <v>989</v>
      </c>
      <c r="H33" s="131">
        <v>200</v>
      </c>
    </row>
    <row r="34" spans="2:8" x14ac:dyDescent="0.2">
      <c r="B34" s="135" t="s">
        <v>972</v>
      </c>
      <c r="C34" s="135" t="s">
        <v>339</v>
      </c>
      <c r="D34" s="135" t="s">
        <v>982</v>
      </c>
      <c r="E34" s="135"/>
      <c r="F34" s="135" t="s">
        <v>5</v>
      </c>
      <c r="G34" s="135" t="s">
        <v>992</v>
      </c>
      <c r="H34" s="131">
        <v>175</v>
      </c>
    </row>
    <row r="35" spans="2:8" x14ac:dyDescent="0.2">
      <c r="B35" s="135" t="s">
        <v>972</v>
      </c>
      <c r="C35" s="135" t="s">
        <v>339</v>
      </c>
      <c r="D35" s="135" t="s">
        <v>982</v>
      </c>
      <c r="E35" s="135"/>
      <c r="F35" s="135" t="s">
        <v>5</v>
      </c>
      <c r="G35" s="135" t="s">
        <v>985</v>
      </c>
      <c r="H35" s="131">
        <v>175</v>
      </c>
    </row>
    <row r="36" spans="2:8" x14ac:dyDescent="0.2">
      <c r="B36" s="135" t="s">
        <v>972</v>
      </c>
      <c r="C36" s="135" t="s">
        <v>339</v>
      </c>
      <c r="D36" s="135" t="s">
        <v>982</v>
      </c>
      <c r="E36" s="135"/>
      <c r="F36" s="135" t="s">
        <v>5</v>
      </c>
      <c r="G36" s="135" t="s">
        <v>991</v>
      </c>
      <c r="H36" s="131">
        <v>100</v>
      </c>
    </row>
    <row r="37" spans="2:8" x14ac:dyDescent="0.2">
      <c r="B37" s="135" t="s">
        <v>972</v>
      </c>
      <c r="C37" s="135" t="s">
        <v>339</v>
      </c>
      <c r="D37" s="135" t="s">
        <v>982</v>
      </c>
      <c r="E37" s="135"/>
      <c r="F37" s="135" t="s">
        <v>5</v>
      </c>
      <c r="G37" s="135" t="s">
        <v>983</v>
      </c>
      <c r="H37" s="131">
        <v>-69.08</v>
      </c>
    </row>
    <row r="38" spans="2:8" x14ac:dyDescent="0.2">
      <c r="B38" s="135" t="s">
        <v>972</v>
      </c>
      <c r="C38" s="135" t="s">
        <v>973</v>
      </c>
      <c r="D38" s="135" t="s">
        <v>976</v>
      </c>
      <c r="E38" s="135" t="s">
        <v>977</v>
      </c>
      <c r="F38" s="135" t="s">
        <v>5</v>
      </c>
      <c r="G38" s="135"/>
      <c r="H38" s="131">
        <v>1550</v>
      </c>
    </row>
    <row r="39" spans="2:8" x14ac:dyDescent="0.2">
      <c r="B39" s="135" t="s">
        <v>972</v>
      </c>
      <c r="C39" s="135" t="s">
        <v>973</v>
      </c>
      <c r="D39" s="135" t="s">
        <v>980</v>
      </c>
      <c r="E39" s="135" t="s">
        <v>981</v>
      </c>
      <c r="F39" s="135" t="s">
        <v>5</v>
      </c>
      <c r="G39" s="135"/>
      <c r="H39" s="131">
        <v>1525</v>
      </c>
    </row>
    <row r="40" spans="2:8" x14ac:dyDescent="0.2">
      <c r="B40" s="135" t="s">
        <v>972</v>
      </c>
      <c r="C40" s="135" t="s">
        <v>973</v>
      </c>
      <c r="D40" s="135" t="s">
        <v>974</v>
      </c>
      <c r="E40" s="135" t="s">
        <v>975</v>
      </c>
      <c r="F40" s="135" t="s">
        <v>5</v>
      </c>
      <c r="G40" s="135"/>
      <c r="H40" s="131">
        <v>1500</v>
      </c>
    </row>
    <row r="41" spans="2:8" x14ac:dyDescent="0.2">
      <c r="B41" s="135" t="s">
        <v>972</v>
      </c>
      <c r="C41" s="135" t="s">
        <v>973</v>
      </c>
      <c r="D41" s="135" t="s">
        <v>993</v>
      </c>
      <c r="E41" s="135" t="s">
        <v>994</v>
      </c>
      <c r="F41" s="135" t="s">
        <v>5</v>
      </c>
      <c r="G41" s="135"/>
      <c r="H41" s="131">
        <v>775</v>
      </c>
    </row>
    <row r="42" spans="2:8" x14ac:dyDescent="0.2">
      <c r="B42" s="135" t="s">
        <v>972</v>
      </c>
      <c r="C42" s="135" t="s">
        <v>973</v>
      </c>
      <c r="D42" s="135" t="s">
        <v>978</v>
      </c>
      <c r="E42" s="135" t="s">
        <v>979</v>
      </c>
      <c r="F42" s="135" t="s">
        <v>5</v>
      </c>
      <c r="G42" s="135"/>
      <c r="H42" s="131">
        <v>500</v>
      </c>
    </row>
    <row r="43" spans="2:8" x14ac:dyDescent="0.2">
      <c r="B43" s="135" t="s">
        <v>1161</v>
      </c>
      <c r="C43" s="135" t="s">
        <v>339</v>
      </c>
      <c r="D43" s="135" t="s">
        <v>1269</v>
      </c>
      <c r="E43" s="135"/>
      <c r="F43" s="135" t="s">
        <v>5</v>
      </c>
      <c r="G43" s="135" t="s">
        <v>1151</v>
      </c>
      <c r="H43" s="131">
        <v>174.99</v>
      </c>
    </row>
    <row r="44" spans="2:8" x14ac:dyDescent="0.2">
      <c r="B44" s="135" t="s">
        <v>1161</v>
      </c>
      <c r="C44" s="135" t="s">
        <v>339</v>
      </c>
      <c r="D44" s="135" t="s">
        <v>1269</v>
      </c>
      <c r="E44" s="135"/>
      <c r="F44" s="135" t="s">
        <v>5</v>
      </c>
      <c r="G44" s="135"/>
      <c r="H44" s="131">
        <v>166.67</v>
      </c>
    </row>
    <row r="45" spans="2:8" x14ac:dyDescent="0.2">
      <c r="B45" s="135" t="s">
        <v>1161</v>
      </c>
      <c r="C45" s="135" t="s">
        <v>339</v>
      </c>
      <c r="D45" s="135" t="s">
        <v>1269</v>
      </c>
      <c r="E45" s="135"/>
      <c r="F45" s="135" t="s">
        <v>5</v>
      </c>
      <c r="G45" s="135"/>
      <c r="H45" s="131">
        <v>108.34</v>
      </c>
    </row>
    <row r="46" spans="2:8" x14ac:dyDescent="0.2">
      <c r="B46" s="135" t="s">
        <v>1161</v>
      </c>
      <c r="C46" s="135" t="s">
        <v>339</v>
      </c>
      <c r="D46" s="135" t="s">
        <v>1269</v>
      </c>
      <c r="E46" s="135"/>
      <c r="F46" s="135" t="s">
        <v>5</v>
      </c>
      <c r="G46" s="135"/>
      <c r="H46" s="131">
        <v>75</v>
      </c>
    </row>
    <row r="47" spans="2:8" x14ac:dyDescent="0.2">
      <c r="B47" s="135" t="s">
        <v>1161</v>
      </c>
      <c r="C47" s="135" t="s">
        <v>339</v>
      </c>
      <c r="D47" s="135" t="s">
        <v>1269</v>
      </c>
      <c r="E47" s="135"/>
      <c r="F47" s="135" t="s">
        <v>5</v>
      </c>
      <c r="G47" s="135"/>
      <c r="H47" s="131">
        <v>75</v>
      </c>
    </row>
    <row r="48" spans="2:8" x14ac:dyDescent="0.2">
      <c r="B48" s="135" t="s">
        <v>1161</v>
      </c>
      <c r="C48" s="135" t="s">
        <v>339</v>
      </c>
      <c r="D48" s="135" t="s">
        <v>1269</v>
      </c>
      <c r="E48" s="135"/>
      <c r="F48" s="135" t="s">
        <v>5</v>
      </c>
      <c r="G48" s="135"/>
      <c r="H48" s="131">
        <v>75</v>
      </c>
    </row>
    <row r="49" spans="2:8" x14ac:dyDescent="0.2">
      <c r="B49" s="135" t="s">
        <v>1244</v>
      </c>
      <c r="C49" s="135" t="s">
        <v>339</v>
      </c>
      <c r="D49" s="135" t="s">
        <v>1271</v>
      </c>
      <c r="E49" s="135"/>
      <c r="F49" s="135" t="s">
        <v>5</v>
      </c>
      <c r="G49" s="135"/>
      <c r="H49" s="131">
        <v>199.3</v>
      </c>
    </row>
    <row r="50" spans="2:8" x14ac:dyDescent="0.2">
      <c r="B50" s="135" t="s">
        <v>1244</v>
      </c>
      <c r="C50" s="135" t="s">
        <v>339</v>
      </c>
      <c r="D50" s="135" t="s">
        <v>1270</v>
      </c>
      <c r="E50" s="135"/>
      <c r="F50" s="135" t="s">
        <v>5</v>
      </c>
      <c r="G50" s="135"/>
      <c r="H50" s="131">
        <v>50</v>
      </c>
    </row>
    <row r="51" spans="2:8" x14ac:dyDescent="0.2">
      <c r="B51" s="135" t="s">
        <v>1173</v>
      </c>
      <c r="C51" s="135" t="s">
        <v>339</v>
      </c>
      <c r="D51" s="135" t="s">
        <v>1272</v>
      </c>
      <c r="E51" s="135"/>
      <c r="F51" s="135" t="s">
        <v>5</v>
      </c>
      <c r="G51" s="135"/>
      <c r="H51" s="131">
        <v>1300</v>
      </c>
    </row>
    <row r="52" spans="2:8" x14ac:dyDescent="0.2">
      <c r="B52" s="135" t="s">
        <v>1173</v>
      </c>
      <c r="C52" s="135" t="s">
        <v>339</v>
      </c>
      <c r="D52" s="135" t="s">
        <v>1272</v>
      </c>
      <c r="E52" s="135"/>
      <c r="F52" s="135" t="s">
        <v>5</v>
      </c>
      <c r="G52" s="135"/>
      <c r="H52" s="131">
        <v>250</v>
      </c>
    </row>
    <row r="53" spans="2:8" x14ac:dyDescent="0.2">
      <c r="B53" s="135" t="s">
        <v>1273</v>
      </c>
      <c r="C53" s="135" t="s">
        <v>339</v>
      </c>
      <c r="D53" s="135" t="s">
        <v>1276</v>
      </c>
      <c r="E53" s="135"/>
      <c r="F53" s="135" t="s">
        <v>5</v>
      </c>
      <c r="G53" s="135"/>
      <c r="H53" s="131">
        <v>1300</v>
      </c>
    </row>
    <row r="54" spans="2:8" x14ac:dyDescent="0.2">
      <c r="B54" s="135" t="s">
        <v>1273</v>
      </c>
      <c r="C54" s="135" t="s">
        <v>339</v>
      </c>
      <c r="D54" s="135" t="s">
        <v>1276</v>
      </c>
      <c r="E54" s="135"/>
      <c r="F54" s="135" t="s">
        <v>5</v>
      </c>
      <c r="G54" s="135"/>
      <c r="H54" s="131">
        <v>675</v>
      </c>
    </row>
    <row r="55" spans="2:8" x14ac:dyDescent="0.2">
      <c r="B55" s="135" t="s">
        <v>1273</v>
      </c>
      <c r="C55" s="135" t="s">
        <v>339</v>
      </c>
      <c r="D55" s="135" t="s">
        <v>1274</v>
      </c>
      <c r="E55" s="135"/>
      <c r="F55" s="135" t="s">
        <v>5</v>
      </c>
      <c r="G55" s="135"/>
      <c r="H55" s="131">
        <v>675</v>
      </c>
    </row>
    <row r="56" spans="2:8" x14ac:dyDescent="0.2">
      <c r="B56" s="135" t="s">
        <v>1273</v>
      </c>
      <c r="C56" s="135" t="s">
        <v>339</v>
      </c>
      <c r="D56" s="135" t="s">
        <v>1274</v>
      </c>
      <c r="E56" s="135"/>
      <c r="F56" s="135" t="s">
        <v>5</v>
      </c>
      <c r="G56" s="135" t="s">
        <v>1275</v>
      </c>
      <c r="H56" s="131">
        <v>-500</v>
      </c>
    </row>
    <row r="57" spans="2:8" x14ac:dyDescent="0.2">
      <c r="B57" s="135" t="s">
        <v>1142</v>
      </c>
      <c r="C57" s="135" t="s">
        <v>973</v>
      </c>
      <c r="D57" s="135" t="s">
        <v>1143</v>
      </c>
      <c r="E57" s="135" t="s">
        <v>1144</v>
      </c>
      <c r="F57" s="135" t="s">
        <v>5</v>
      </c>
      <c r="G57" s="135"/>
      <c r="H57" s="131">
        <v>775</v>
      </c>
    </row>
    <row r="58" spans="2:8" x14ac:dyDescent="0.2">
      <c r="B58" s="135" t="s">
        <v>1142</v>
      </c>
      <c r="C58" s="135" t="s">
        <v>973</v>
      </c>
      <c r="D58" s="135" t="s">
        <v>1145</v>
      </c>
      <c r="E58" s="135" t="s">
        <v>1146</v>
      </c>
      <c r="F58" s="135" t="s">
        <v>5</v>
      </c>
      <c r="G58" s="135"/>
      <c r="H58" s="131">
        <v>205</v>
      </c>
    </row>
    <row r="59" spans="2:8" x14ac:dyDescent="0.2">
      <c r="B59" s="135" t="s">
        <v>1142</v>
      </c>
      <c r="C59" s="135" t="s">
        <v>973</v>
      </c>
      <c r="D59" s="135" t="s">
        <v>1147</v>
      </c>
      <c r="E59" s="135" t="s">
        <v>1148</v>
      </c>
      <c r="F59" s="135" t="s">
        <v>5</v>
      </c>
      <c r="G59" s="135"/>
      <c r="H59" s="131">
        <v>175</v>
      </c>
    </row>
    <row r="60" spans="2:8" x14ac:dyDescent="0.2">
      <c r="B60" s="135" t="s">
        <v>1179</v>
      </c>
      <c r="C60" s="135" t="s">
        <v>339</v>
      </c>
      <c r="D60" s="135" t="s">
        <v>1277</v>
      </c>
      <c r="E60" s="135"/>
      <c r="F60" s="135" t="s">
        <v>5</v>
      </c>
      <c r="G60" s="135"/>
      <c r="H60" s="131">
        <v>675</v>
      </c>
    </row>
    <row r="61" spans="2:8" x14ac:dyDescent="0.2">
      <c r="B61" s="135" t="s">
        <v>1179</v>
      </c>
      <c r="C61" s="135" t="s">
        <v>339</v>
      </c>
      <c r="D61" s="135" t="s">
        <v>1279</v>
      </c>
      <c r="E61" s="135"/>
      <c r="F61" s="135" t="s">
        <v>5</v>
      </c>
      <c r="G61" s="135" t="s">
        <v>1151</v>
      </c>
      <c r="H61" s="131">
        <v>18.59</v>
      </c>
    </row>
    <row r="62" spans="2:8" x14ac:dyDescent="0.2">
      <c r="B62" s="135" t="s">
        <v>1179</v>
      </c>
      <c r="C62" s="135" t="s">
        <v>339</v>
      </c>
      <c r="D62" s="135" t="s">
        <v>1278</v>
      </c>
      <c r="E62" s="135"/>
      <c r="F62" s="135" t="s">
        <v>5</v>
      </c>
      <c r="G62" s="135" t="s">
        <v>1151</v>
      </c>
      <c r="H62" s="131">
        <v>0</v>
      </c>
    </row>
    <row r="63" spans="2:8" x14ac:dyDescent="0.2">
      <c r="B63" s="135" t="s">
        <v>1179</v>
      </c>
      <c r="C63" s="135" t="s">
        <v>339</v>
      </c>
      <c r="D63" s="135" t="s">
        <v>1278</v>
      </c>
      <c r="E63" s="135"/>
      <c r="F63" s="135" t="s">
        <v>5</v>
      </c>
      <c r="G63" s="135" t="s">
        <v>1151</v>
      </c>
      <c r="H63" s="131">
        <v>0</v>
      </c>
    </row>
    <row r="64" spans="2:8" x14ac:dyDescent="0.2">
      <c r="B64" s="135" t="s">
        <v>1179</v>
      </c>
      <c r="C64" s="135" t="s">
        <v>339</v>
      </c>
      <c r="D64" s="135" t="s">
        <v>1278</v>
      </c>
      <c r="E64" s="135"/>
      <c r="F64" s="135" t="s">
        <v>5</v>
      </c>
      <c r="G64" s="135" t="s">
        <v>1151</v>
      </c>
      <c r="H64" s="131">
        <v>0</v>
      </c>
    </row>
    <row r="65" spans="2:8" x14ac:dyDescent="0.2">
      <c r="B65" s="135" t="s">
        <v>1280</v>
      </c>
      <c r="C65" s="135" t="s">
        <v>973</v>
      </c>
      <c r="D65" s="135" t="s">
        <v>1284</v>
      </c>
      <c r="E65" s="135" t="s">
        <v>1285</v>
      </c>
      <c r="F65" s="135" t="s">
        <v>5</v>
      </c>
      <c r="G65" s="135"/>
      <c r="H65" s="131">
        <v>1300</v>
      </c>
    </row>
    <row r="66" spans="2:8" x14ac:dyDescent="0.2">
      <c r="B66" s="135" t="s">
        <v>1280</v>
      </c>
      <c r="C66" s="135" t="s">
        <v>973</v>
      </c>
      <c r="D66" s="135" t="s">
        <v>1281</v>
      </c>
      <c r="E66" s="135" t="s">
        <v>1282</v>
      </c>
      <c r="F66" s="135" t="s">
        <v>5</v>
      </c>
      <c r="G66" s="135" t="s">
        <v>1283</v>
      </c>
      <c r="H66" s="131">
        <v>100</v>
      </c>
    </row>
    <row r="67" spans="2:8" x14ac:dyDescent="0.2">
      <c r="B67" s="135" t="s">
        <v>1286</v>
      </c>
      <c r="C67" s="135" t="s">
        <v>973</v>
      </c>
      <c r="D67" s="135" t="s">
        <v>1287</v>
      </c>
      <c r="E67" s="135" t="s">
        <v>1288</v>
      </c>
      <c r="F67" s="135" t="s">
        <v>5</v>
      </c>
      <c r="G67" s="135"/>
      <c r="H67" s="131">
        <v>250</v>
      </c>
    </row>
    <row r="68" spans="2:8" x14ac:dyDescent="0.2">
      <c r="B68" s="135" t="s">
        <v>1289</v>
      </c>
      <c r="C68" s="135" t="s">
        <v>973</v>
      </c>
      <c r="D68" s="135" t="s">
        <v>1290</v>
      </c>
      <c r="E68" s="135" t="s">
        <v>1291</v>
      </c>
      <c r="F68" s="135" t="s">
        <v>5</v>
      </c>
      <c r="G68" s="135" t="s">
        <v>1292</v>
      </c>
      <c r="H68" s="131">
        <v>825</v>
      </c>
    </row>
    <row r="69" spans="2:8" x14ac:dyDescent="0.2">
      <c r="B69" s="135" t="s">
        <v>1293</v>
      </c>
      <c r="C69" s="135" t="s">
        <v>339</v>
      </c>
      <c r="D69" s="135" t="s">
        <v>1294</v>
      </c>
      <c r="E69" s="135"/>
      <c r="F69" s="135" t="s">
        <v>5</v>
      </c>
      <c r="G69" s="135" t="s">
        <v>1295</v>
      </c>
      <c r="H69" s="131">
        <v>-142.30000000000001</v>
      </c>
    </row>
    <row r="70" spans="2:8" x14ac:dyDescent="0.2">
      <c r="B70" s="135" t="s">
        <v>1296</v>
      </c>
      <c r="C70" s="135" t="s">
        <v>973</v>
      </c>
      <c r="D70" s="135" t="s">
        <v>1300</v>
      </c>
      <c r="E70" s="135" t="s">
        <v>1301</v>
      </c>
      <c r="F70" s="135" t="s">
        <v>5</v>
      </c>
      <c r="G70" s="135"/>
      <c r="H70" s="131">
        <v>675</v>
      </c>
    </row>
    <row r="71" spans="2:8" x14ac:dyDescent="0.2">
      <c r="B71" s="135" t="s">
        <v>1296</v>
      </c>
      <c r="C71" s="135" t="s">
        <v>973</v>
      </c>
      <c r="D71" s="135" t="s">
        <v>1297</v>
      </c>
      <c r="E71" s="135" t="s">
        <v>1298</v>
      </c>
      <c r="F71" s="135" t="s">
        <v>5</v>
      </c>
      <c r="G71" s="135" t="s">
        <v>1299</v>
      </c>
      <c r="H71" s="131">
        <v>175</v>
      </c>
    </row>
    <row r="72" spans="2:8" x14ac:dyDescent="0.2">
      <c r="B72" s="135" t="s">
        <v>1302</v>
      </c>
      <c r="C72" s="135" t="s">
        <v>973</v>
      </c>
      <c r="D72" s="135" t="s">
        <v>1303</v>
      </c>
      <c r="E72" s="135" t="s">
        <v>1304</v>
      </c>
      <c r="F72" s="135" t="s">
        <v>5</v>
      </c>
      <c r="G72" s="135"/>
      <c r="H72" s="131">
        <v>675</v>
      </c>
    </row>
    <row r="73" spans="2:8" x14ac:dyDescent="0.2">
      <c r="B73" s="135" t="s">
        <v>1305</v>
      </c>
      <c r="C73" s="135" t="s">
        <v>973</v>
      </c>
      <c r="D73" s="135" t="s">
        <v>1306</v>
      </c>
      <c r="E73" s="135" t="s">
        <v>1307</v>
      </c>
      <c r="F73" s="135" t="s">
        <v>5</v>
      </c>
      <c r="G73" s="135" t="s">
        <v>1308</v>
      </c>
      <c r="H73" s="131">
        <v>475</v>
      </c>
    </row>
    <row r="74" spans="2:8" x14ac:dyDescent="0.2">
      <c r="B74" s="135" t="s">
        <v>1309</v>
      </c>
      <c r="C74" s="135" t="s">
        <v>3</v>
      </c>
      <c r="D74" s="135"/>
      <c r="E74" s="135" t="s">
        <v>1310</v>
      </c>
      <c r="F74" s="135" t="s">
        <v>5</v>
      </c>
      <c r="G74" s="135" t="s">
        <v>1311</v>
      </c>
      <c r="H74" s="131">
        <v>-175</v>
      </c>
    </row>
    <row r="75" spans="2:8" x14ac:dyDescent="0.2">
      <c r="B75" s="135" t="s">
        <v>1312</v>
      </c>
      <c r="C75" s="135" t="s">
        <v>973</v>
      </c>
      <c r="D75" s="135" t="s">
        <v>1316</v>
      </c>
      <c r="E75" s="135" t="s">
        <v>1317</v>
      </c>
      <c r="F75" s="135" t="s">
        <v>5</v>
      </c>
      <c r="G75" s="135"/>
      <c r="H75" s="131">
        <v>675</v>
      </c>
    </row>
    <row r="76" spans="2:8" x14ac:dyDescent="0.2">
      <c r="B76" s="135" t="s">
        <v>1312</v>
      </c>
      <c r="C76" s="135" t="s">
        <v>973</v>
      </c>
      <c r="D76" s="135" t="s">
        <v>1313</v>
      </c>
      <c r="E76" s="135" t="s">
        <v>1314</v>
      </c>
      <c r="F76" s="135" t="s">
        <v>5</v>
      </c>
      <c r="G76" s="135" t="s">
        <v>1315</v>
      </c>
      <c r="H76" s="131">
        <v>675</v>
      </c>
    </row>
    <row r="77" spans="2:8" x14ac:dyDescent="0.2">
      <c r="B77" s="135" t="s">
        <v>1318</v>
      </c>
      <c r="C77" s="135" t="s">
        <v>973</v>
      </c>
      <c r="D77" s="135" t="s">
        <v>1319</v>
      </c>
      <c r="E77" s="135" t="s">
        <v>1320</v>
      </c>
      <c r="F77" s="135" t="s">
        <v>5</v>
      </c>
      <c r="G77" s="135" t="s">
        <v>1321</v>
      </c>
      <c r="H77" s="131">
        <v>400</v>
      </c>
    </row>
    <row r="78" spans="2:8" x14ac:dyDescent="0.2">
      <c r="B78" s="135" t="s">
        <v>1318</v>
      </c>
      <c r="C78" s="135" t="s">
        <v>973</v>
      </c>
      <c r="D78" s="135" t="s">
        <v>1325</v>
      </c>
      <c r="E78" s="135" t="s">
        <v>1323</v>
      </c>
      <c r="F78" s="135" t="s">
        <v>5</v>
      </c>
      <c r="G78" s="135" t="s">
        <v>1326</v>
      </c>
      <c r="H78" s="131">
        <v>250</v>
      </c>
    </row>
    <row r="79" spans="2:8" x14ac:dyDescent="0.2">
      <c r="B79" s="135" t="s">
        <v>1318</v>
      </c>
      <c r="C79" s="135" t="s">
        <v>973</v>
      </c>
      <c r="D79" s="135" t="s">
        <v>1322</v>
      </c>
      <c r="E79" s="135" t="s">
        <v>1323</v>
      </c>
      <c r="F79" s="135" t="s">
        <v>5</v>
      </c>
      <c r="G79" s="135" t="s">
        <v>1324</v>
      </c>
      <c r="H79" s="131">
        <v>250</v>
      </c>
    </row>
    <row r="80" spans="2:8" x14ac:dyDescent="0.2">
      <c r="B80" s="135" t="s">
        <v>1318</v>
      </c>
      <c r="C80" s="135" t="s">
        <v>973</v>
      </c>
      <c r="D80" s="135" t="s">
        <v>1327</v>
      </c>
      <c r="E80" s="135" t="s">
        <v>1323</v>
      </c>
      <c r="F80" s="135" t="s">
        <v>5</v>
      </c>
      <c r="G80" s="135" t="s">
        <v>1328</v>
      </c>
      <c r="H80" s="131">
        <v>250</v>
      </c>
    </row>
    <row r="81" spans="2:8" x14ac:dyDescent="0.2">
      <c r="B81" s="135" t="s">
        <v>1447</v>
      </c>
      <c r="C81" s="135" t="s">
        <v>973</v>
      </c>
      <c r="D81" s="135" t="s">
        <v>1448</v>
      </c>
      <c r="E81" s="135" t="s">
        <v>1449</v>
      </c>
      <c r="F81" s="135" t="s">
        <v>5</v>
      </c>
      <c r="G81" s="135"/>
      <c r="H81" s="131">
        <v>100</v>
      </c>
    </row>
    <row r="82" spans="2:8" x14ac:dyDescent="0.2">
      <c r="B82" s="135" t="s">
        <v>1447</v>
      </c>
      <c r="C82" s="135" t="s">
        <v>973</v>
      </c>
      <c r="D82" s="135" t="s">
        <v>1450</v>
      </c>
      <c r="E82" s="135" t="s">
        <v>1451</v>
      </c>
      <c r="F82" s="135" t="s">
        <v>5</v>
      </c>
      <c r="G82" s="135"/>
      <c r="H82" s="131">
        <v>75</v>
      </c>
    </row>
    <row r="83" spans="2:8" x14ac:dyDescent="0.2">
      <c r="B83" s="135" t="s">
        <v>1452</v>
      </c>
      <c r="C83" s="135" t="s">
        <v>973</v>
      </c>
      <c r="D83" s="135" t="s">
        <v>1453</v>
      </c>
      <c r="E83" s="135" t="s">
        <v>1454</v>
      </c>
      <c r="F83" s="135" t="s">
        <v>5</v>
      </c>
      <c r="G83" s="135"/>
      <c r="H83" s="131">
        <v>300</v>
      </c>
    </row>
    <row r="84" spans="2:8" x14ac:dyDescent="0.2">
      <c r="B84" s="135" t="s">
        <v>1455</v>
      </c>
      <c r="C84" s="135" t="s">
        <v>973</v>
      </c>
      <c r="D84" s="135" t="s">
        <v>1456</v>
      </c>
      <c r="E84" s="135" t="s">
        <v>1457</v>
      </c>
      <c r="F84" s="135" t="s">
        <v>5</v>
      </c>
      <c r="G84" s="135"/>
      <c r="H84" s="131">
        <v>250</v>
      </c>
    </row>
    <row r="85" spans="2:8" x14ac:dyDescent="0.2">
      <c r="B85" s="135" t="s">
        <v>1458</v>
      </c>
      <c r="C85" s="135" t="s">
        <v>973</v>
      </c>
      <c r="D85" s="135" t="s">
        <v>1459</v>
      </c>
      <c r="E85" s="135" t="s">
        <v>1460</v>
      </c>
      <c r="F85" s="135" t="s">
        <v>5</v>
      </c>
      <c r="G85" s="135" t="s">
        <v>1461</v>
      </c>
      <c r="H85" s="131">
        <v>250.64</v>
      </c>
    </row>
    <row r="86" spans="2:8" x14ac:dyDescent="0.2">
      <c r="B86" s="135" t="s">
        <v>1462</v>
      </c>
      <c r="C86" s="135" t="s">
        <v>973</v>
      </c>
      <c r="D86" s="135" t="s">
        <v>1463</v>
      </c>
      <c r="E86" s="135" t="s">
        <v>1464</v>
      </c>
      <c r="F86" s="135" t="s">
        <v>5</v>
      </c>
      <c r="G86" s="135"/>
      <c r="H86" s="131">
        <v>775</v>
      </c>
    </row>
    <row r="87" spans="2:8" x14ac:dyDescent="0.2">
      <c r="B87" s="135" t="s">
        <v>1462</v>
      </c>
      <c r="C87" s="135" t="s">
        <v>973</v>
      </c>
      <c r="D87" s="135" t="s">
        <v>1465</v>
      </c>
      <c r="E87" s="135" t="s">
        <v>1466</v>
      </c>
      <c r="F87" s="135" t="s">
        <v>5</v>
      </c>
      <c r="G87" s="135"/>
      <c r="H87" s="131">
        <v>775</v>
      </c>
    </row>
    <row r="88" spans="2:8" x14ac:dyDescent="0.2">
      <c r="B88" s="135" t="s">
        <v>1462</v>
      </c>
      <c r="C88" s="135" t="s">
        <v>973</v>
      </c>
      <c r="D88" s="135" t="s">
        <v>1467</v>
      </c>
      <c r="E88" s="135" t="s">
        <v>1464</v>
      </c>
      <c r="F88" s="135" t="s">
        <v>5</v>
      </c>
      <c r="G88" s="135"/>
      <c r="H88" s="131">
        <v>775</v>
      </c>
    </row>
    <row r="89" spans="2:8" x14ac:dyDescent="0.2">
      <c r="B89" s="135" t="s">
        <v>1462</v>
      </c>
      <c r="C89" s="135" t="s">
        <v>973</v>
      </c>
      <c r="D89" s="135" t="s">
        <v>1468</v>
      </c>
      <c r="E89" s="135" t="s">
        <v>1469</v>
      </c>
      <c r="F89" s="135" t="s">
        <v>5</v>
      </c>
      <c r="G89" s="135"/>
      <c r="H89" s="131">
        <v>500</v>
      </c>
    </row>
    <row r="90" spans="2:8" x14ac:dyDescent="0.2">
      <c r="B90" s="135" t="s">
        <v>1462</v>
      </c>
      <c r="C90" s="135" t="s">
        <v>973</v>
      </c>
      <c r="D90" s="135" t="s">
        <v>1470</v>
      </c>
      <c r="E90" s="135" t="s">
        <v>1323</v>
      </c>
      <c r="F90" s="135" t="s">
        <v>5</v>
      </c>
      <c r="G90" s="135"/>
      <c r="H90" s="131">
        <v>200</v>
      </c>
    </row>
    <row r="91" spans="2:8" x14ac:dyDescent="0.2">
      <c r="B91" s="135" t="s">
        <v>1462</v>
      </c>
      <c r="C91" s="135" t="s">
        <v>973</v>
      </c>
      <c r="D91" s="135" t="s">
        <v>1471</v>
      </c>
      <c r="E91" s="135" t="s">
        <v>1323</v>
      </c>
      <c r="F91" s="135" t="s">
        <v>5</v>
      </c>
      <c r="G91" s="135"/>
      <c r="H91" s="131">
        <v>100</v>
      </c>
    </row>
    <row r="92" spans="2:8" x14ac:dyDescent="0.2">
      <c r="B92" s="135" t="s">
        <v>1462</v>
      </c>
      <c r="C92" s="135" t="s">
        <v>973</v>
      </c>
      <c r="D92" s="135" t="s">
        <v>1472</v>
      </c>
      <c r="E92" s="135" t="s">
        <v>1323</v>
      </c>
      <c r="F92" s="135" t="s">
        <v>5</v>
      </c>
      <c r="G92" s="135"/>
      <c r="H92" s="131">
        <v>100</v>
      </c>
    </row>
    <row r="93" spans="2:8" x14ac:dyDescent="0.2">
      <c r="B93" s="135" t="s">
        <v>1473</v>
      </c>
      <c r="C93" s="135" t="s">
        <v>973</v>
      </c>
      <c r="D93" s="135" t="s">
        <v>1474</v>
      </c>
      <c r="E93" s="135" t="s">
        <v>1475</v>
      </c>
      <c r="F93" s="135" t="s">
        <v>5</v>
      </c>
      <c r="G93" s="135"/>
      <c r="H93" s="131">
        <v>800</v>
      </c>
    </row>
    <row r="94" spans="2:8" x14ac:dyDescent="0.2">
      <c r="B94" s="135" t="s">
        <v>1473</v>
      </c>
      <c r="C94" s="135" t="s">
        <v>973</v>
      </c>
      <c r="D94" s="135" t="s">
        <v>1476</v>
      </c>
      <c r="E94" s="135" t="s">
        <v>1477</v>
      </c>
      <c r="F94" s="135" t="s">
        <v>5</v>
      </c>
      <c r="G94" s="135"/>
      <c r="H94" s="131">
        <v>750</v>
      </c>
    </row>
    <row r="95" spans="2:8" x14ac:dyDescent="0.2">
      <c r="B95" s="135" t="s">
        <v>1473</v>
      </c>
      <c r="C95" s="135" t="s">
        <v>973</v>
      </c>
      <c r="D95" s="135" t="s">
        <v>1478</v>
      </c>
      <c r="E95" s="135" t="s">
        <v>1479</v>
      </c>
      <c r="F95" s="135" t="s">
        <v>5</v>
      </c>
      <c r="G95" s="135"/>
      <c r="H95" s="131">
        <v>675</v>
      </c>
    </row>
    <row r="96" spans="2:8" x14ac:dyDescent="0.2">
      <c r="B96" s="135" t="s">
        <v>1473</v>
      </c>
      <c r="C96" s="135" t="s">
        <v>973</v>
      </c>
      <c r="D96" s="135" t="s">
        <v>1480</v>
      </c>
      <c r="E96" s="135" t="s">
        <v>1481</v>
      </c>
      <c r="F96" s="135" t="s">
        <v>5</v>
      </c>
      <c r="G96" s="135"/>
      <c r="H96" s="131">
        <v>550</v>
      </c>
    </row>
    <row r="97" spans="2:8" x14ac:dyDescent="0.2">
      <c r="B97" s="135" t="s">
        <v>1473</v>
      </c>
      <c r="C97" s="135" t="s">
        <v>973</v>
      </c>
      <c r="D97" s="135" t="s">
        <v>1482</v>
      </c>
      <c r="E97" s="135" t="s">
        <v>1483</v>
      </c>
      <c r="F97" s="135" t="s">
        <v>5</v>
      </c>
      <c r="G97" s="135"/>
      <c r="H97" s="131">
        <v>410</v>
      </c>
    </row>
    <row r="98" spans="2:8" x14ac:dyDescent="0.2">
      <c r="B98" s="135" t="s">
        <v>1484</v>
      </c>
      <c r="C98" s="135" t="s">
        <v>339</v>
      </c>
      <c r="D98" s="135" t="s">
        <v>1541</v>
      </c>
      <c r="E98" s="135"/>
      <c r="F98" s="135" t="s">
        <v>5</v>
      </c>
      <c r="G98" s="135"/>
      <c r="H98" s="131">
        <v>350</v>
      </c>
    </row>
    <row r="99" spans="2:8" x14ac:dyDescent="0.2">
      <c r="B99" s="135" t="s">
        <v>1484</v>
      </c>
      <c r="C99" s="135" t="s">
        <v>973</v>
      </c>
      <c r="D99" s="135" t="s">
        <v>1501</v>
      </c>
      <c r="E99" s="135" t="s">
        <v>1502</v>
      </c>
      <c r="F99" s="135" t="s">
        <v>5</v>
      </c>
      <c r="G99" s="135"/>
      <c r="H99" s="131">
        <v>675</v>
      </c>
    </row>
    <row r="100" spans="2:8" x14ac:dyDescent="0.2">
      <c r="B100" s="135" t="s">
        <v>1484</v>
      </c>
      <c r="C100" s="135" t="s">
        <v>973</v>
      </c>
      <c r="D100" s="135" t="s">
        <v>1499</v>
      </c>
      <c r="E100" s="135" t="s">
        <v>1500</v>
      </c>
      <c r="F100" s="135" t="s">
        <v>5</v>
      </c>
      <c r="G100" s="135"/>
      <c r="H100" s="131">
        <v>216.67</v>
      </c>
    </row>
    <row r="101" spans="2:8" x14ac:dyDescent="0.2">
      <c r="B101" s="135" t="s">
        <v>1484</v>
      </c>
      <c r="C101" s="135" t="s">
        <v>973</v>
      </c>
      <c r="D101" s="135" t="s">
        <v>1497</v>
      </c>
      <c r="E101" s="135" t="s">
        <v>1498</v>
      </c>
      <c r="F101" s="135" t="s">
        <v>5</v>
      </c>
      <c r="G101" s="135"/>
      <c r="H101" s="131">
        <v>183.33</v>
      </c>
    </row>
    <row r="102" spans="2:8" x14ac:dyDescent="0.2">
      <c r="B102" s="135" t="s">
        <v>1484</v>
      </c>
      <c r="C102" s="135" t="s">
        <v>973</v>
      </c>
      <c r="D102" s="135" t="s">
        <v>1495</v>
      </c>
      <c r="E102" s="135" t="s">
        <v>1496</v>
      </c>
      <c r="F102" s="135" t="s">
        <v>5</v>
      </c>
      <c r="G102" s="135"/>
      <c r="H102" s="131">
        <v>175</v>
      </c>
    </row>
    <row r="103" spans="2:8" x14ac:dyDescent="0.2">
      <c r="B103" s="135" t="s">
        <v>1484</v>
      </c>
      <c r="C103" s="135" t="s">
        <v>973</v>
      </c>
      <c r="D103" s="135" t="s">
        <v>1493</v>
      </c>
      <c r="E103" s="135" t="s">
        <v>1494</v>
      </c>
      <c r="F103" s="135" t="s">
        <v>5</v>
      </c>
      <c r="G103" s="135"/>
      <c r="H103" s="131">
        <v>166.67</v>
      </c>
    </row>
    <row r="104" spans="2:8" x14ac:dyDescent="0.2">
      <c r="B104" s="135" t="s">
        <v>1484</v>
      </c>
      <c r="C104" s="135" t="s">
        <v>973</v>
      </c>
      <c r="D104" s="135" t="s">
        <v>1491</v>
      </c>
      <c r="E104" s="135" t="s">
        <v>1492</v>
      </c>
      <c r="F104" s="135" t="s">
        <v>5</v>
      </c>
      <c r="G104" s="135"/>
      <c r="H104" s="131">
        <v>166.67</v>
      </c>
    </row>
    <row r="105" spans="2:8" x14ac:dyDescent="0.2">
      <c r="B105" s="135" t="s">
        <v>1484</v>
      </c>
      <c r="C105" s="135" t="s">
        <v>973</v>
      </c>
      <c r="D105" s="135" t="s">
        <v>1485</v>
      </c>
      <c r="E105" s="135" t="s">
        <v>1486</v>
      </c>
      <c r="F105" s="135" t="s">
        <v>5</v>
      </c>
      <c r="G105" s="135"/>
      <c r="H105" s="131">
        <v>108.34</v>
      </c>
    </row>
    <row r="106" spans="2:8" x14ac:dyDescent="0.2">
      <c r="B106" s="135" t="s">
        <v>1484</v>
      </c>
      <c r="C106" s="135" t="s">
        <v>973</v>
      </c>
      <c r="D106" s="135" t="s">
        <v>1489</v>
      </c>
      <c r="E106" s="135" t="s">
        <v>1490</v>
      </c>
      <c r="F106" s="135" t="s">
        <v>5</v>
      </c>
      <c r="G106" s="135"/>
      <c r="H106" s="131">
        <v>75</v>
      </c>
    </row>
    <row r="107" spans="2:8" x14ac:dyDescent="0.2">
      <c r="B107" s="135" t="s">
        <v>1484</v>
      </c>
      <c r="C107" s="135" t="s">
        <v>973</v>
      </c>
      <c r="D107" s="135" t="s">
        <v>1487</v>
      </c>
      <c r="E107" s="135" t="s">
        <v>1488</v>
      </c>
      <c r="F107" s="135" t="s">
        <v>5</v>
      </c>
      <c r="G107" s="135"/>
      <c r="H107" s="131">
        <v>75</v>
      </c>
    </row>
    <row r="108" spans="2:8" x14ac:dyDescent="0.2">
      <c r="B108" s="135" t="s">
        <v>1608</v>
      </c>
      <c r="C108" s="135" t="s">
        <v>101</v>
      </c>
      <c r="D108" s="135"/>
      <c r="E108" s="135" t="s">
        <v>1609</v>
      </c>
      <c r="F108" s="135" t="s">
        <v>5</v>
      </c>
      <c r="G108" s="135"/>
      <c r="H108" s="131">
        <v>525</v>
      </c>
    </row>
    <row r="109" spans="2:8" x14ac:dyDescent="0.2">
      <c r="B109" s="135" t="s">
        <v>1608</v>
      </c>
      <c r="C109" s="135" t="s">
        <v>973</v>
      </c>
      <c r="D109" s="135" t="s">
        <v>1610</v>
      </c>
      <c r="E109" s="135" t="s">
        <v>1611</v>
      </c>
      <c r="F109" s="135" t="s">
        <v>5</v>
      </c>
      <c r="G109" s="135"/>
      <c r="H109" s="131">
        <v>250</v>
      </c>
    </row>
    <row r="110" spans="2:8" x14ac:dyDescent="0.2">
      <c r="B110" s="135" t="s">
        <v>1608</v>
      </c>
      <c r="C110" s="135" t="s">
        <v>973</v>
      </c>
      <c r="D110" s="135" t="s">
        <v>1612</v>
      </c>
      <c r="E110" s="135" t="s">
        <v>1454</v>
      </c>
      <c r="F110" s="135" t="s">
        <v>5</v>
      </c>
      <c r="G110" s="135"/>
      <c r="H110" s="131">
        <v>200</v>
      </c>
    </row>
    <row r="111" spans="2:8" x14ac:dyDescent="0.2">
      <c r="B111" s="135" t="s">
        <v>1613</v>
      </c>
      <c r="C111" s="135" t="s">
        <v>973</v>
      </c>
      <c r="D111" s="135" t="s">
        <v>1614</v>
      </c>
      <c r="E111" s="135" t="s">
        <v>1615</v>
      </c>
      <c r="F111" s="135" t="s">
        <v>5</v>
      </c>
      <c r="G111" s="135"/>
      <c r="H111" s="131">
        <v>250</v>
      </c>
    </row>
    <row r="112" spans="2:8" x14ac:dyDescent="0.2">
      <c r="B112" s="135" t="s">
        <v>1784</v>
      </c>
      <c r="C112" s="135" t="s">
        <v>973</v>
      </c>
      <c r="D112" s="135" t="s">
        <v>1785</v>
      </c>
      <c r="E112" s="135" t="s">
        <v>1786</v>
      </c>
      <c r="F112" s="135" t="s">
        <v>5</v>
      </c>
      <c r="G112" s="135" t="s">
        <v>1787</v>
      </c>
      <c r="H112" s="131">
        <v>100</v>
      </c>
    </row>
    <row r="113" spans="2:8" x14ac:dyDescent="0.2">
      <c r="B113" s="135" t="s">
        <v>1616</v>
      </c>
      <c r="C113" s="135" t="s">
        <v>973</v>
      </c>
      <c r="D113" s="135" t="s">
        <v>1617</v>
      </c>
      <c r="E113" s="135" t="s">
        <v>1618</v>
      </c>
      <c r="F113" s="135" t="s">
        <v>5</v>
      </c>
      <c r="G113" s="135"/>
      <c r="H113" s="131">
        <v>475</v>
      </c>
    </row>
    <row r="114" spans="2:8" x14ac:dyDescent="0.2">
      <c r="B114" s="135" t="s">
        <v>1619</v>
      </c>
      <c r="C114" s="135" t="s">
        <v>101</v>
      </c>
      <c r="D114" s="135"/>
      <c r="E114" s="135"/>
      <c r="F114" s="135" t="s">
        <v>5</v>
      </c>
      <c r="G114" s="135"/>
      <c r="H114" s="131">
        <v>675</v>
      </c>
    </row>
    <row r="115" spans="2:8" x14ac:dyDescent="0.2">
      <c r="B115" s="135" t="s">
        <v>1619</v>
      </c>
      <c r="C115" s="135" t="s">
        <v>101</v>
      </c>
      <c r="D115" s="135"/>
      <c r="E115" s="135"/>
      <c r="F115" s="135" t="s">
        <v>5</v>
      </c>
      <c r="G115" s="135"/>
      <c r="H115" s="131">
        <v>300</v>
      </c>
    </row>
    <row r="116" spans="2:8" x14ac:dyDescent="0.2">
      <c r="B116" s="135" t="s">
        <v>1619</v>
      </c>
      <c r="C116" s="135" t="s">
        <v>101</v>
      </c>
      <c r="D116" s="135"/>
      <c r="E116" s="135"/>
      <c r="F116" s="135" t="s">
        <v>5</v>
      </c>
      <c r="G116" s="135"/>
      <c r="H116" s="131">
        <v>-675</v>
      </c>
    </row>
    <row r="117" spans="2:8" x14ac:dyDescent="0.2">
      <c r="B117" s="135" t="s">
        <v>1620</v>
      </c>
      <c r="C117" s="135" t="s">
        <v>101</v>
      </c>
      <c r="D117" s="135">
        <v>16864</v>
      </c>
      <c r="E117" s="135"/>
      <c r="F117" s="135" t="s">
        <v>5</v>
      </c>
      <c r="G117" s="135"/>
      <c r="H117" s="131">
        <v>1250</v>
      </c>
    </row>
    <row r="118" spans="2:8" x14ac:dyDescent="0.2">
      <c r="B118" s="135" t="s">
        <v>1620</v>
      </c>
      <c r="C118" s="135" t="s">
        <v>101</v>
      </c>
      <c r="D118" s="135">
        <v>1393</v>
      </c>
      <c r="E118" s="135"/>
      <c r="F118" s="135" t="s">
        <v>5</v>
      </c>
      <c r="G118" s="135"/>
      <c r="H118" s="131">
        <v>850</v>
      </c>
    </row>
    <row r="119" spans="2:8" x14ac:dyDescent="0.2">
      <c r="B119" s="135" t="s">
        <v>1620</v>
      </c>
      <c r="C119" s="135" t="s">
        <v>101</v>
      </c>
      <c r="D119" s="135">
        <v>2980895</v>
      </c>
      <c r="E119" s="135"/>
      <c r="F119" s="135" t="s">
        <v>5</v>
      </c>
      <c r="G119" s="135"/>
      <c r="H119" s="131">
        <v>800</v>
      </c>
    </row>
    <row r="120" spans="2:8" x14ac:dyDescent="0.2">
      <c r="B120" s="135" t="s">
        <v>1620</v>
      </c>
      <c r="C120" s="135" t="s">
        <v>101</v>
      </c>
      <c r="D120" s="135">
        <v>2980895</v>
      </c>
      <c r="E120" s="135"/>
      <c r="F120" s="135" t="s">
        <v>5</v>
      </c>
      <c r="G120" s="135"/>
      <c r="H120" s="131">
        <v>800</v>
      </c>
    </row>
    <row r="121" spans="2:8" x14ac:dyDescent="0.2">
      <c r="B121" s="135" t="s">
        <v>1620</v>
      </c>
      <c r="C121" s="135" t="s">
        <v>101</v>
      </c>
      <c r="D121" s="135">
        <v>20679</v>
      </c>
      <c r="E121" s="135"/>
      <c r="F121" s="135" t="s">
        <v>5</v>
      </c>
      <c r="G121" s="135"/>
      <c r="H121" s="131">
        <v>800</v>
      </c>
    </row>
    <row r="122" spans="2:8" x14ac:dyDescent="0.2">
      <c r="B122" s="135" t="s">
        <v>1620</v>
      </c>
      <c r="C122" s="135" t="s">
        <v>101</v>
      </c>
      <c r="D122" s="135">
        <v>21610379</v>
      </c>
      <c r="E122" s="135"/>
      <c r="F122" s="135" t="s">
        <v>5</v>
      </c>
      <c r="G122" s="135"/>
      <c r="H122" s="131">
        <v>775</v>
      </c>
    </row>
    <row r="123" spans="2:8" x14ac:dyDescent="0.2">
      <c r="B123" s="135" t="s">
        <v>1620</v>
      </c>
      <c r="C123" s="135" t="s">
        <v>101</v>
      </c>
      <c r="D123" s="135">
        <v>16864</v>
      </c>
      <c r="E123" s="135"/>
      <c r="F123" s="135" t="s">
        <v>5</v>
      </c>
      <c r="G123" s="135"/>
      <c r="H123" s="131">
        <v>275</v>
      </c>
    </row>
    <row r="124" spans="2:8" x14ac:dyDescent="0.2">
      <c r="B124" s="135" t="s">
        <v>1621</v>
      </c>
      <c r="C124" s="135" t="s">
        <v>339</v>
      </c>
      <c r="D124" s="135" t="s">
        <v>1622</v>
      </c>
      <c r="E124" s="135"/>
      <c r="F124" s="135" t="s">
        <v>5</v>
      </c>
      <c r="G124" s="135" t="s">
        <v>1623</v>
      </c>
      <c r="H124" s="131">
        <v>-800</v>
      </c>
    </row>
    <row r="125" spans="2:8" x14ac:dyDescent="0.2">
      <c r="B125" s="135" t="s">
        <v>1624</v>
      </c>
      <c r="C125" s="135" t="s">
        <v>339</v>
      </c>
      <c r="D125" s="135" t="s">
        <v>1625</v>
      </c>
      <c r="E125" s="135"/>
      <c r="F125" s="135" t="s">
        <v>5</v>
      </c>
      <c r="G125" s="135" t="s">
        <v>1641</v>
      </c>
      <c r="H125" s="131">
        <v>1200</v>
      </c>
    </row>
    <row r="126" spans="2:8" x14ac:dyDescent="0.2">
      <c r="B126" s="135" t="s">
        <v>1624</v>
      </c>
      <c r="C126" s="135" t="s">
        <v>339</v>
      </c>
      <c r="D126" s="135" t="s">
        <v>1625</v>
      </c>
      <c r="E126" s="135"/>
      <c r="F126" s="135" t="s">
        <v>5</v>
      </c>
      <c r="G126" s="135" t="s">
        <v>1627</v>
      </c>
      <c r="H126" s="131">
        <v>1200</v>
      </c>
    </row>
    <row r="127" spans="2:8" x14ac:dyDescent="0.2">
      <c r="B127" s="135" t="s">
        <v>1624</v>
      </c>
      <c r="C127" s="135" t="s">
        <v>339</v>
      </c>
      <c r="D127" s="135" t="s">
        <v>1625</v>
      </c>
      <c r="E127" s="135"/>
      <c r="F127" s="135" t="s">
        <v>5</v>
      </c>
      <c r="G127" s="135" t="s">
        <v>1641</v>
      </c>
      <c r="H127" s="131">
        <v>1200</v>
      </c>
    </row>
    <row r="128" spans="2:8" x14ac:dyDescent="0.2">
      <c r="B128" s="135" t="s">
        <v>1624</v>
      </c>
      <c r="C128" s="135" t="s">
        <v>339</v>
      </c>
      <c r="D128" s="135" t="s">
        <v>1625</v>
      </c>
      <c r="E128" s="135"/>
      <c r="F128" s="135" t="s">
        <v>5</v>
      </c>
      <c r="G128" s="135" t="s">
        <v>1639</v>
      </c>
      <c r="H128" s="131">
        <v>800</v>
      </c>
    </row>
    <row r="129" spans="2:8" x14ac:dyDescent="0.2">
      <c r="B129" s="135" t="s">
        <v>1624</v>
      </c>
      <c r="C129" s="135" t="s">
        <v>339</v>
      </c>
      <c r="D129" s="135" t="s">
        <v>1625</v>
      </c>
      <c r="E129" s="135"/>
      <c r="F129" s="135" t="s">
        <v>5</v>
      </c>
      <c r="G129" s="135" t="s">
        <v>1639</v>
      </c>
      <c r="H129" s="131">
        <v>800</v>
      </c>
    </row>
    <row r="130" spans="2:8" x14ac:dyDescent="0.2">
      <c r="B130" s="135" t="s">
        <v>1624</v>
      </c>
      <c r="C130" s="135" t="s">
        <v>339</v>
      </c>
      <c r="D130" s="135" t="s">
        <v>1625</v>
      </c>
      <c r="E130" s="135"/>
      <c r="F130" s="135" t="s">
        <v>5</v>
      </c>
      <c r="G130" s="135" t="s">
        <v>1627</v>
      </c>
      <c r="H130" s="131">
        <v>675</v>
      </c>
    </row>
    <row r="131" spans="2:8" x14ac:dyDescent="0.2">
      <c r="B131" s="135" t="s">
        <v>1624</v>
      </c>
      <c r="C131" s="135" t="s">
        <v>339</v>
      </c>
      <c r="D131" s="135" t="s">
        <v>1625</v>
      </c>
      <c r="E131" s="135"/>
      <c r="F131" s="135" t="s">
        <v>5</v>
      </c>
      <c r="G131" s="135" t="s">
        <v>1641</v>
      </c>
      <c r="H131" s="131">
        <v>675</v>
      </c>
    </row>
    <row r="132" spans="2:8" x14ac:dyDescent="0.2">
      <c r="B132" s="135" t="s">
        <v>1624</v>
      </c>
      <c r="C132" s="135" t="s">
        <v>339</v>
      </c>
      <c r="D132" s="135" t="s">
        <v>1625</v>
      </c>
      <c r="E132" s="135"/>
      <c r="F132" s="135" t="s">
        <v>5</v>
      </c>
      <c r="G132" s="135" t="s">
        <v>1641</v>
      </c>
      <c r="H132" s="131">
        <v>525</v>
      </c>
    </row>
    <row r="133" spans="2:8" x14ac:dyDescent="0.2">
      <c r="B133" s="135" t="s">
        <v>1624</v>
      </c>
      <c r="C133" s="135" t="s">
        <v>339</v>
      </c>
      <c r="D133" s="135" t="s">
        <v>1625</v>
      </c>
      <c r="E133" s="135"/>
      <c r="F133" s="135" t="s">
        <v>5</v>
      </c>
      <c r="G133" s="135" t="s">
        <v>1627</v>
      </c>
      <c r="H133" s="131">
        <v>525</v>
      </c>
    </row>
    <row r="134" spans="2:8" x14ac:dyDescent="0.2">
      <c r="B134" s="135" t="s">
        <v>1624</v>
      </c>
      <c r="C134" s="135" t="s">
        <v>339</v>
      </c>
      <c r="D134" s="135" t="s">
        <v>1625</v>
      </c>
      <c r="E134" s="135"/>
      <c r="F134" s="135" t="s">
        <v>5</v>
      </c>
      <c r="G134" s="135" t="s">
        <v>1627</v>
      </c>
      <c r="H134" s="131">
        <v>475</v>
      </c>
    </row>
    <row r="135" spans="2:8" x14ac:dyDescent="0.2">
      <c r="B135" s="135" t="s">
        <v>1624</v>
      </c>
      <c r="C135" s="135" t="s">
        <v>339</v>
      </c>
      <c r="D135" s="135" t="s">
        <v>1625</v>
      </c>
      <c r="E135" s="135"/>
      <c r="F135" s="135" t="s">
        <v>5</v>
      </c>
      <c r="G135" s="135" t="s">
        <v>1626</v>
      </c>
      <c r="H135" s="131">
        <v>470</v>
      </c>
    </row>
    <row r="136" spans="2:8" x14ac:dyDescent="0.2">
      <c r="B136" s="135" t="s">
        <v>1624</v>
      </c>
      <c r="C136" s="135" t="s">
        <v>339</v>
      </c>
      <c r="D136" s="135" t="s">
        <v>1625</v>
      </c>
      <c r="E136" s="135"/>
      <c r="F136" s="135" t="s">
        <v>5</v>
      </c>
      <c r="G136" s="135" t="s">
        <v>1628</v>
      </c>
      <c r="H136" s="131">
        <v>325</v>
      </c>
    </row>
    <row r="137" spans="2:8" x14ac:dyDescent="0.2">
      <c r="B137" s="135" t="s">
        <v>1624</v>
      </c>
      <c r="C137" s="135" t="s">
        <v>339</v>
      </c>
      <c r="D137" s="135" t="s">
        <v>1625</v>
      </c>
      <c r="E137" s="135"/>
      <c r="F137" s="135" t="s">
        <v>5</v>
      </c>
      <c r="G137" s="135" t="s">
        <v>1627</v>
      </c>
      <c r="H137" s="131">
        <v>300</v>
      </c>
    </row>
    <row r="138" spans="2:8" x14ac:dyDescent="0.2">
      <c r="B138" s="135" t="s">
        <v>1624</v>
      </c>
      <c r="C138" s="135" t="s">
        <v>339</v>
      </c>
      <c r="D138" s="135" t="s">
        <v>1625</v>
      </c>
      <c r="E138" s="135"/>
      <c r="F138" s="135" t="s">
        <v>5</v>
      </c>
      <c r="G138" s="135" t="s">
        <v>1628</v>
      </c>
      <c r="H138" s="131">
        <v>250</v>
      </c>
    </row>
    <row r="139" spans="2:8" x14ac:dyDescent="0.2">
      <c r="B139" s="135" t="s">
        <v>1624</v>
      </c>
      <c r="C139" s="135" t="s">
        <v>339</v>
      </c>
      <c r="D139" s="135" t="s">
        <v>1625</v>
      </c>
      <c r="E139" s="135"/>
      <c r="F139" s="135" t="s">
        <v>5</v>
      </c>
      <c r="G139" s="135" t="s">
        <v>1627</v>
      </c>
      <c r="H139" s="131">
        <v>250</v>
      </c>
    </row>
    <row r="140" spans="2:8" x14ac:dyDescent="0.2">
      <c r="B140" s="135" t="s">
        <v>1624</v>
      </c>
      <c r="C140" s="135" t="s">
        <v>339</v>
      </c>
      <c r="D140" s="135" t="s">
        <v>1625</v>
      </c>
      <c r="E140" s="135"/>
      <c r="F140" s="135" t="s">
        <v>5</v>
      </c>
      <c r="G140" s="135" t="s">
        <v>1628</v>
      </c>
      <c r="H140" s="131">
        <v>247.5</v>
      </c>
    </row>
    <row r="141" spans="2:8" x14ac:dyDescent="0.2">
      <c r="B141" s="135" t="s">
        <v>1624</v>
      </c>
      <c r="C141" s="135" t="s">
        <v>339</v>
      </c>
      <c r="D141" s="135" t="s">
        <v>1625</v>
      </c>
      <c r="E141" s="135"/>
      <c r="F141" s="135" t="s">
        <v>5</v>
      </c>
      <c r="G141" s="135" t="s">
        <v>1641</v>
      </c>
      <c r="H141" s="131">
        <v>200</v>
      </c>
    </row>
    <row r="142" spans="2:8" x14ac:dyDescent="0.2">
      <c r="B142" s="135" t="s">
        <v>1624</v>
      </c>
      <c r="C142" s="135" t="s">
        <v>339</v>
      </c>
      <c r="D142" s="135" t="s">
        <v>1625</v>
      </c>
      <c r="E142" s="135"/>
      <c r="F142" s="135" t="s">
        <v>5</v>
      </c>
      <c r="G142" s="135" t="s">
        <v>1627</v>
      </c>
      <c r="H142" s="131">
        <v>200</v>
      </c>
    </row>
    <row r="143" spans="2:8" x14ac:dyDescent="0.2">
      <c r="B143" s="135" t="s">
        <v>1624</v>
      </c>
      <c r="C143" s="135" t="s">
        <v>339</v>
      </c>
      <c r="D143" s="135" t="s">
        <v>1625</v>
      </c>
      <c r="E143" s="135"/>
      <c r="F143" s="135" t="s">
        <v>5</v>
      </c>
      <c r="G143" s="135" t="s">
        <v>1626</v>
      </c>
      <c r="H143" s="131">
        <v>50</v>
      </c>
    </row>
    <row r="144" spans="2:8" x14ac:dyDescent="0.2">
      <c r="B144" s="135" t="s">
        <v>1788</v>
      </c>
      <c r="C144" s="135" t="s">
        <v>101</v>
      </c>
      <c r="D144" s="135"/>
      <c r="E144" s="135"/>
      <c r="F144" s="135" t="s">
        <v>5</v>
      </c>
      <c r="G144" s="135"/>
      <c r="H144" s="131">
        <v>150</v>
      </c>
    </row>
    <row r="145" spans="2:8" x14ac:dyDescent="0.2">
      <c r="B145" s="135" t="s">
        <v>1837</v>
      </c>
      <c r="C145" s="135" t="s">
        <v>101</v>
      </c>
      <c r="D145" s="135"/>
      <c r="E145" s="135"/>
      <c r="F145" s="135" t="s">
        <v>5</v>
      </c>
      <c r="G145" s="135"/>
      <c r="H145" s="131">
        <v>900</v>
      </c>
    </row>
    <row r="146" spans="2:8" x14ac:dyDescent="0.2">
      <c r="B146" s="135" t="s">
        <v>1837</v>
      </c>
      <c r="C146" s="135" t="s">
        <v>101</v>
      </c>
      <c r="D146" s="135"/>
      <c r="E146" s="135"/>
      <c r="F146" s="135" t="s">
        <v>5</v>
      </c>
      <c r="G146" s="135"/>
      <c r="H146" s="131">
        <v>287.5</v>
      </c>
    </row>
    <row r="147" spans="2:8" x14ac:dyDescent="0.2">
      <c r="B147" s="135" t="s">
        <v>1837</v>
      </c>
      <c r="C147" s="135" t="s">
        <v>101</v>
      </c>
      <c r="D147" s="135"/>
      <c r="E147" s="135"/>
      <c r="F147" s="135" t="s">
        <v>5</v>
      </c>
      <c r="G147" s="135"/>
      <c r="H147" s="131">
        <v>75</v>
      </c>
    </row>
    <row r="148" spans="2:8" x14ac:dyDescent="0.2">
      <c r="B148" s="135" t="s">
        <v>1789</v>
      </c>
      <c r="C148" s="135" t="s">
        <v>101</v>
      </c>
      <c r="D148" s="135"/>
      <c r="E148" s="135"/>
      <c r="F148" s="135" t="s">
        <v>5</v>
      </c>
      <c r="G148" s="135"/>
      <c r="H148" s="131">
        <v>900</v>
      </c>
    </row>
    <row r="149" spans="2:8" x14ac:dyDescent="0.2">
      <c r="B149" s="135" t="s">
        <v>1789</v>
      </c>
      <c r="C149" s="135" t="s">
        <v>101</v>
      </c>
      <c r="D149" s="135"/>
      <c r="E149" s="135" t="s">
        <v>1790</v>
      </c>
      <c r="F149" s="135" t="s">
        <v>5</v>
      </c>
      <c r="G149" s="135"/>
      <c r="H149" s="131">
        <v>525</v>
      </c>
    </row>
    <row r="150" spans="2:8" x14ac:dyDescent="0.2">
      <c r="B150" s="135" t="s">
        <v>1789</v>
      </c>
      <c r="C150" s="135" t="s">
        <v>101</v>
      </c>
      <c r="D150" s="135"/>
      <c r="E150" s="135"/>
      <c r="F150" s="135" t="s">
        <v>5</v>
      </c>
      <c r="G150" s="135"/>
      <c r="H150" s="131">
        <v>287.5</v>
      </c>
    </row>
    <row r="151" spans="2:8" x14ac:dyDescent="0.2">
      <c r="B151" s="135" t="s">
        <v>1791</v>
      </c>
      <c r="C151" s="135" t="s">
        <v>101</v>
      </c>
      <c r="D151" s="135"/>
      <c r="E151" s="135"/>
      <c r="F151" s="135" t="s">
        <v>5</v>
      </c>
      <c r="G151" s="135" t="s">
        <v>1838</v>
      </c>
      <c r="H151" s="131">
        <v>2000</v>
      </c>
    </row>
    <row r="152" spans="2:8" x14ac:dyDescent="0.2">
      <c r="B152" s="135" t="s">
        <v>1791</v>
      </c>
      <c r="C152" s="135" t="s">
        <v>101</v>
      </c>
      <c r="D152" s="135"/>
      <c r="E152" s="135"/>
      <c r="F152" s="135" t="s">
        <v>5</v>
      </c>
      <c r="G152" s="135"/>
      <c r="H152" s="131">
        <v>850</v>
      </c>
    </row>
    <row r="153" spans="2:8" x14ac:dyDescent="0.2">
      <c r="B153" s="135" t="s">
        <v>1791</v>
      </c>
      <c r="C153" s="135" t="s">
        <v>101</v>
      </c>
      <c r="D153" s="135"/>
      <c r="E153" s="135"/>
      <c r="F153" s="135" t="s">
        <v>5</v>
      </c>
      <c r="G153" s="135"/>
      <c r="H153" s="131">
        <v>450</v>
      </c>
    </row>
    <row r="154" spans="2:8" x14ac:dyDescent="0.2">
      <c r="B154" s="135" t="s">
        <v>1791</v>
      </c>
      <c r="C154" s="135" t="s">
        <v>101</v>
      </c>
      <c r="D154" s="135"/>
      <c r="E154" s="135"/>
      <c r="F154" s="135" t="s">
        <v>5</v>
      </c>
      <c r="G154" s="135" t="s">
        <v>1838</v>
      </c>
      <c r="H154" s="131">
        <v>200</v>
      </c>
    </row>
    <row r="155" spans="2:8" x14ac:dyDescent="0.2">
      <c r="B155" s="135" t="s">
        <v>1791</v>
      </c>
      <c r="C155" s="135" t="s">
        <v>101</v>
      </c>
      <c r="D155" s="135"/>
      <c r="E155" s="135" t="s">
        <v>1792</v>
      </c>
      <c r="F155" s="135" t="s">
        <v>5</v>
      </c>
      <c r="G155" s="135"/>
      <c r="H155" s="131">
        <v>25</v>
      </c>
    </row>
    <row r="156" spans="2:8" x14ac:dyDescent="0.2">
      <c r="B156" s="135" t="s">
        <v>1793</v>
      </c>
      <c r="C156" s="135" t="s">
        <v>101</v>
      </c>
      <c r="D156" s="135"/>
      <c r="E156" s="135" t="s">
        <v>1794</v>
      </c>
      <c r="F156" s="135" t="s">
        <v>5</v>
      </c>
      <c r="G156" s="135"/>
      <c r="H156" s="131">
        <v>550</v>
      </c>
    </row>
    <row r="157" spans="2:8" x14ac:dyDescent="0.2">
      <c r="B157" s="135" t="s">
        <v>1795</v>
      </c>
      <c r="C157" s="135" t="s">
        <v>101</v>
      </c>
      <c r="D157" s="135"/>
      <c r="E157" s="135"/>
      <c r="F157" s="135" t="s">
        <v>5</v>
      </c>
      <c r="G157" s="135"/>
      <c r="H157" s="131">
        <v>300</v>
      </c>
    </row>
    <row r="158" spans="2:8" x14ac:dyDescent="0.2">
      <c r="B158" s="135" t="s">
        <v>1796</v>
      </c>
      <c r="C158" s="135" t="s">
        <v>101</v>
      </c>
      <c r="D158" s="135"/>
      <c r="E158" s="135"/>
      <c r="F158" s="135" t="s">
        <v>5</v>
      </c>
      <c r="G158" s="135" t="s">
        <v>1838</v>
      </c>
      <c r="H158" s="131">
        <v>1925</v>
      </c>
    </row>
    <row r="159" spans="2:8" x14ac:dyDescent="0.2">
      <c r="B159" s="135" t="s">
        <v>1796</v>
      </c>
      <c r="C159" s="135" t="s">
        <v>101</v>
      </c>
      <c r="D159" s="135">
        <v>9164728</v>
      </c>
      <c r="E159" s="135"/>
      <c r="F159" s="135" t="s">
        <v>5</v>
      </c>
      <c r="G159" s="135" t="s">
        <v>1800</v>
      </c>
      <c r="H159" s="131">
        <v>790</v>
      </c>
    </row>
    <row r="160" spans="2:8" x14ac:dyDescent="0.2">
      <c r="B160" s="135" t="s">
        <v>1796</v>
      </c>
      <c r="C160" s="135" t="s">
        <v>101</v>
      </c>
      <c r="D160" s="135">
        <v>14367</v>
      </c>
      <c r="E160" s="135"/>
      <c r="F160" s="135" t="s">
        <v>5</v>
      </c>
      <c r="G160" s="135" t="s">
        <v>1802</v>
      </c>
      <c r="H160" s="131">
        <v>675</v>
      </c>
    </row>
    <row r="161" spans="2:8" x14ac:dyDescent="0.2">
      <c r="B161" s="135" t="s">
        <v>1796</v>
      </c>
      <c r="C161" s="135" t="s">
        <v>101</v>
      </c>
      <c r="D161" s="135">
        <v>18963</v>
      </c>
      <c r="E161" s="135"/>
      <c r="F161" s="135" t="s">
        <v>5</v>
      </c>
      <c r="G161" s="135" t="s">
        <v>1797</v>
      </c>
      <c r="H161" s="131">
        <v>410</v>
      </c>
    </row>
    <row r="162" spans="2:8" x14ac:dyDescent="0.2">
      <c r="B162" s="135" t="s">
        <v>1796</v>
      </c>
      <c r="C162" s="135" t="s">
        <v>101</v>
      </c>
      <c r="D162" s="135">
        <v>200088465</v>
      </c>
      <c r="E162" s="135"/>
      <c r="F162" s="135" t="s">
        <v>5</v>
      </c>
      <c r="G162" s="135" t="s">
        <v>1801</v>
      </c>
      <c r="H162" s="131">
        <v>100</v>
      </c>
    </row>
    <row r="163" spans="2:8" x14ac:dyDescent="0.2">
      <c r="B163" s="135" t="s">
        <v>1796</v>
      </c>
      <c r="C163" s="135" t="s">
        <v>101</v>
      </c>
      <c r="D163" s="135">
        <v>200088462</v>
      </c>
      <c r="E163" s="135"/>
      <c r="F163" s="135" t="s">
        <v>5</v>
      </c>
      <c r="G163" s="135"/>
      <c r="H163" s="131">
        <v>100</v>
      </c>
    </row>
    <row r="164" spans="2:8" x14ac:dyDescent="0.2">
      <c r="B164" s="135" t="s">
        <v>1796</v>
      </c>
      <c r="C164" s="135" t="s">
        <v>101</v>
      </c>
      <c r="D164" s="135">
        <v>200088452</v>
      </c>
      <c r="E164" s="135"/>
      <c r="F164" s="135" t="s">
        <v>5</v>
      </c>
      <c r="G164" s="135"/>
      <c r="H164" s="131">
        <v>100</v>
      </c>
    </row>
    <row r="165" spans="2:8" x14ac:dyDescent="0.2">
      <c r="B165" s="135" t="s">
        <v>1796</v>
      </c>
      <c r="C165" s="135" t="s">
        <v>973</v>
      </c>
      <c r="D165" s="135" t="s">
        <v>1798</v>
      </c>
      <c r="E165" s="135" t="s">
        <v>1799</v>
      </c>
      <c r="F165" s="135" t="s">
        <v>5</v>
      </c>
      <c r="G165" s="135"/>
      <c r="H165" s="131">
        <v>25</v>
      </c>
    </row>
    <row r="166" spans="2:8" x14ac:dyDescent="0.2">
      <c r="B166" s="135" t="s">
        <v>1803</v>
      </c>
      <c r="C166" s="135" t="s">
        <v>101</v>
      </c>
      <c r="D166" s="135"/>
      <c r="E166" s="135" t="s">
        <v>1804</v>
      </c>
      <c r="F166" s="135" t="s">
        <v>5</v>
      </c>
      <c r="G166" s="135"/>
      <c r="H166" s="131">
        <v>550</v>
      </c>
    </row>
    <row r="167" spans="2:8" x14ac:dyDescent="0.2">
      <c r="B167" s="135" t="s">
        <v>1803</v>
      </c>
      <c r="C167" s="135" t="s">
        <v>101</v>
      </c>
      <c r="D167" s="135"/>
      <c r="E167" s="135" t="s">
        <v>1805</v>
      </c>
      <c r="F167" s="135" t="s">
        <v>5</v>
      </c>
      <c r="G167" s="135"/>
      <c r="H167" s="131">
        <v>500</v>
      </c>
    </row>
    <row r="168" spans="2:8" x14ac:dyDescent="0.2">
      <c r="B168" s="135" t="s">
        <v>1806</v>
      </c>
      <c r="C168" s="135" t="s">
        <v>101</v>
      </c>
      <c r="D168" s="135"/>
      <c r="E168" s="135" t="s">
        <v>1454</v>
      </c>
      <c r="F168" s="135" t="s">
        <v>5</v>
      </c>
      <c r="G168" s="135" t="s">
        <v>1807</v>
      </c>
      <c r="H168" s="131">
        <v>150</v>
      </c>
    </row>
    <row r="169" spans="2:8" x14ac:dyDescent="0.2">
      <c r="B169" s="135" t="s">
        <v>1808</v>
      </c>
      <c r="C169" s="135" t="s">
        <v>101</v>
      </c>
      <c r="D169" s="135"/>
      <c r="E169" s="135"/>
      <c r="F169" s="135" t="s">
        <v>5</v>
      </c>
      <c r="G169" s="135"/>
      <c r="H169" s="131">
        <v>725</v>
      </c>
    </row>
    <row r="170" spans="2:8" x14ac:dyDescent="0.2">
      <c r="B170" s="135" t="s">
        <v>1808</v>
      </c>
      <c r="C170" s="135" t="s">
        <v>101</v>
      </c>
      <c r="D170" s="135"/>
      <c r="E170" s="135"/>
      <c r="F170" s="135" t="s">
        <v>5</v>
      </c>
      <c r="G170" s="135"/>
      <c r="H170" s="131">
        <v>240</v>
      </c>
    </row>
    <row r="171" spans="2:8" x14ac:dyDescent="0.2">
      <c r="B171" s="135" t="s">
        <v>1808</v>
      </c>
      <c r="C171" s="135" t="s">
        <v>101</v>
      </c>
      <c r="D171" s="135"/>
      <c r="E171" s="135" t="s">
        <v>1615</v>
      </c>
      <c r="F171" s="135" t="s">
        <v>5</v>
      </c>
      <c r="G171" s="135" t="s">
        <v>1838</v>
      </c>
      <c r="H171" s="131">
        <v>224.21</v>
      </c>
    </row>
    <row r="172" spans="2:8" x14ac:dyDescent="0.2">
      <c r="B172" s="135" t="s">
        <v>1809</v>
      </c>
      <c r="C172" s="135" t="s">
        <v>101</v>
      </c>
      <c r="D172" s="135"/>
      <c r="E172" s="135" t="s">
        <v>1457</v>
      </c>
      <c r="F172" s="135" t="s">
        <v>5</v>
      </c>
      <c r="G172" s="135" t="s">
        <v>1810</v>
      </c>
      <c r="H172" s="131">
        <v>550</v>
      </c>
    </row>
    <row r="173" spans="2:8" x14ac:dyDescent="0.2">
      <c r="B173" s="135" t="s">
        <v>1811</v>
      </c>
      <c r="C173" s="135" t="s">
        <v>101</v>
      </c>
      <c r="D173" s="135">
        <v>4509</v>
      </c>
      <c r="E173" s="135"/>
      <c r="F173" s="135" t="s">
        <v>5</v>
      </c>
      <c r="G173" s="135"/>
      <c r="H173" s="131">
        <v>3950</v>
      </c>
    </row>
    <row r="174" spans="2:8" x14ac:dyDescent="0.2">
      <c r="B174" s="135" t="s">
        <v>1811</v>
      </c>
      <c r="C174" s="135" t="s">
        <v>101</v>
      </c>
      <c r="D174" s="135">
        <v>100565</v>
      </c>
      <c r="E174" s="135"/>
      <c r="F174" s="135" t="s">
        <v>5</v>
      </c>
      <c r="G174" s="135" t="s">
        <v>1812</v>
      </c>
      <c r="H174" s="131">
        <v>800</v>
      </c>
    </row>
    <row r="175" spans="2:8" x14ac:dyDescent="0.2">
      <c r="B175" s="135" t="s">
        <v>1811</v>
      </c>
      <c r="C175" s="135" t="s">
        <v>101</v>
      </c>
      <c r="D175" s="135">
        <v>14740</v>
      </c>
      <c r="E175" s="135"/>
      <c r="F175" s="135" t="s">
        <v>5</v>
      </c>
      <c r="G175" s="135" t="s">
        <v>1787</v>
      </c>
      <c r="H175" s="131">
        <v>575</v>
      </c>
    </row>
    <row r="176" spans="2:8" x14ac:dyDescent="0.2">
      <c r="B176" s="135" t="s">
        <v>1811</v>
      </c>
      <c r="C176" s="135" t="s">
        <v>101</v>
      </c>
      <c r="D176" s="135"/>
      <c r="E176" s="135"/>
      <c r="F176" s="135" t="s">
        <v>5</v>
      </c>
      <c r="G176" s="135"/>
      <c r="H176" s="131">
        <v>550</v>
      </c>
    </row>
    <row r="177" spans="2:8" x14ac:dyDescent="0.2">
      <c r="B177" s="135" t="s">
        <v>1811</v>
      </c>
      <c r="C177" s="135" t="s">
        <v>101</v>
      </c>
      <c r="D177" s="135">
        <v>20008472</v>
      </c>
      <c r="E177" s="135"/>
      <c r="F177" s="135" t="s">
        <v>5</v>
      </c>
      <c r="G177" s="135"/>
      <c r="H177" s="131">
        <v>245</v>
      </c>
    </row>
    <row r="178" spans="2:8" x14ac:dyDescent="0.2">
      <c r="B178" s="135" t="s">
        <v>1811</v>
      </c>
      <c r="C178" s="135" t="s">
        <v>101</v>
      </c>
      <c r="D178" s="135">
        <v>200088471</v>
      </c>
      <c r="E178" s="135"/>
      <c r="F178" s="135" t="s">
        <v>5</v>
      </c>
      <c r="G178" s="135"/>
      <c r="H178" s="131">
        <v>245</v>
      </c>
    </row>
    <row r="179" spans="2:8" x14ac:dyDescent="0.2">
      <c r="B179" s="135" t="s">
        <v>1811</v>
      </c>
      <c r="C179" s="135" t="s">
        <v>101</v>
      </c>
      <c r="D179" s="135">
        <v>200088473</v>
      </c>
      <c r="E179" s="135"/>
      <c r="F179" s="135" t="s">
        <v>5</v>
      </c>
      <c r="G179" s="135"/>
      <c r="H179" s="131">
        <v>145</v>
      </c>
    </row>
    <row r="180" spans="2:8" x14ac:dyDescent="0.2">
      <c r="B180" s="135" t="s">
        <v>2081</v>
      </c>
      <c r="C180" s="135" t="s">
        <v>339</v>
      </c>
      <c r="D180" s="135" t="s">
        <v>2082</v>
      </c>
      <c r="E180" s="135"/>
      <c r="F180" s="135" t="s">
        <v>5</v>
      </c>
      <c r="G180" s="135" t="s">
        <v>2084</v>
      </c>
      <c r="H180" s="131">
        <v>550</v>
      </c>
    </row>
    <row r="181" spans="2:8" x14ac:dyDescent="0.2">
      <c r="B181" s="135" t="s">
        <v>2081</v>
      </c>
      <c r="C181" s="135" t="s">
        <v>339</v>
      </c>
      <c r="D181" s="135" t="s">
        <v>2082</v>
      </c>
      <c r="E181" s="135"/>
      <c r="F181" s="135" t="s">
        <v>5</v>
      </c>
      <c r="G181" s="135" t="s">
        <v>2083</v>
      </c>
      <c r="H181" s="131">
        <v>500</v>
      </c>
    </row>
    <row r="182" spans="2:8" x14ac:dyDescent="0.2">
      <c r="B182" s="135" t="s">
        <v>2081</v>
      </c>
      <c r="C182" s="135" t="s">
        <v>339</v>
      </c>
      <c r="D182" s="135" t="s">
        <v>2082</v>
      </c>
      <c r="E182" s="135"/>
      <c r="F182" s="135" t="s">
        <v>5</v>
      </c>
      <c r="G182" s="135" t="s">
        <v>2085</v>
      </c>
      <c r="H182" s="131">
        <v>475</v>
      </c>
    </row>
    <row r="183" spans="2:8" x14ac:dyDescent="0.2">
      <c r="B183" s="135" t="s">
        <v>2081</v>
      </c>
      <c r="C183" s="135" t="s">
        <v>339</v>
      </c>
      <c r="D183" s="135" t="s">
        <v>2082</v>
      </c>
      <c r="E183" s="135"/>
      <c r="F183" s="135" t="s">
        <v>5</v>
      </c>
      <c r="G183" s="135" t="s">
        <v>2086</v>
      </c>
      <c r="H183" s="131">
        <v>-209.48</v>
      </c>
    </row>
    <row r="184" spans="2:8" x14ac:dyDescent="0.2">
      <c r="B184" s="135" t="s">
        <v>2081</v>
      </c>
      <c r="C184" s="135" t="s">
        <v>339</v>
      </c>
      <c r="D184" s="135" t="s">
        <v>2082</v>
      </c>
      <c r="E184" s="135"/>
      <c r="F184" s="135" t="s">
        <v>5</v>
      </c>
      <c r="G184" s="135" t="s">
        <v>2087</v>
      </c>
      <c r="H184" s="131">
        <v>-800</v>
      </c>
    </row>
    <row r="185" spans="2:8" x14ac:dyDescent="0.2">
      <c r="B185" s="135" t="s">
        <v>2221</v>
      </c>
      <c r="C185" s="135" t="s">
        <v>973</v>
      </c>
      <c r="D185" s="135" t="s">
        <v>2222</v>
      </c>
      <c r="E185" s="135" t="s">
        <v>113</v>
      </c>
      <c r="F185" s="135" t="s">
        <v>5</v>
      </c>
      <c r="G185" s="135"/>
      <c r="H185" s="131">
        <v>400</v>
      </c>
    </row>
    <row r="186" spans="2:8" x14ac:dyDescent="0.2">
      <c r="B186" s="135" t="s">
        <v>2544</v>
      </c>
      <c r="C186" s="135" t="s">
        <v>101</v>
      </c>
      <c r="D186" s="135"/>
      <c r="E186" s="135"/>
      <c r="F186" s="135" t="s">
        <v>5</v>
      </c>
      <c r="G186" s="135"/>
      <c r="H186" s="131">
        <v>200</v>
      </c>
    </row>
    <row r="187" spans="2:8" x14ac:dyDescent="0.2">
      <c r="B187" s="135" t="s">
        <v>2545</v>
      </c>
      <c r="C187" s="135" t="s">
        <v>101</v>
      </c>
      <c r="D187" s="135"/>
      <c r="E187" s="135"/>
      <c r="F187" s="135" t="s">
        <v>5</v>
      </c>
      <c r="G187" s="135"/>
      <c r="H187" s="131">
        <v>975</v>
      </c>
    </row>
    <row r="188" spans="2:8" x14ac:dyDescent="0.2">
      <c r="B188" s="135" t="s">
        <v>2546</v>
      </c>
      <c r="C188" s="135" t="s">
        <v>101</v>
      </c>
      <c r="D188" s="135"/>
      <c r="E188" s="135" t="s">
        <v>2547</v>
      </c>
      <c r="F188" s="135" t="s">
        <v>5</v>
      </c>
      <c r="G188" s="135"/>
      <c r="H188" s="131">
        <v>650</v>
      </c>
    </row>
    <row r="189" spans="2:8" x14ac:dyDescent="0.2">
      <c r="B189" s="135" t="s">
        <v>2548</v>
      </c>
      <c r="C189" s="135" t="s">
        <v>339</v>
      </c>
      <c r="D189" s="135" t="s">
        <v>2549</v>
      </c>
      <c r="E189" s="135"/>
      <c r="F189" s="135" t="s">
        <v>5</v>
      </c>
      <c r="G189" s="135" t="s">
        <v>2550</v>
      </c>
      <c r="H189" s="131">
        <v>-33.979999999999997</v>
      </c>
    </row>
    <row r="190" spans="2:8" x14ac:dyDescent="0.2">
      <c r="B190" s="135" t="s">
        <v>2736</v>
      </c>
      <c r="C190" s="135" t="s">
        <v>101</v>
      </c>
      <c r="D190" s="135"/>
      <c r="E190" s="135" t="s">
        <v>1490</v>
      </c>
      <c r="F190" s="135" t="s">
        <v>5</v>
      </c>
      <c r="G190" s="135"/>
      <c r="H190" s="131">
        <v>450</v>
      </c>
    </row>
    <row r="191" spans="2:8" x14ac:dyDescent="0.2">
      <c r="B191" s="135" t="s">
        <v>2737</v>
      </c>
      <c r="C191" s="135" t="s">
        <v>101</v>
      </c>
      <c r="D191" s="135"/>
      <c r="E191" s="135" t="s">
        <v>1792</v>
      </c>
      <c r="F191" s="135" t="s">
        <v>5</v>
      </c>
      <c r="G191" s="135"/>
      <c r="H191" s="131">
        <v>25</v>
      </c>
    </row>
    <row r="192" spans="2:8" x14ac:dyDescent="0.2">
      <c r="B192" s="135" t="s">
        <v>2738</v>
      </c>
      <c r="C192" s="135" t="s">
        <v>101</v>
      </c>
      <c r="D192" s="135">
        <v>301742</v>
      </c>
      <c r="E192" s="135" t="s">
        <v>2739</v>
      </c>
      <c r="F192" s="135" t="s">
        <v>5</v>
      </c>
      <c r="G192" s="135"/>
      <c r="H192" s="131">
        <v>775</v>
      </c>
    </row>
    <row r="193" spans="1:8" x14ac:dyDescent="0.2">
      <c r="B193" s="135" t="s">
        <v>2740</v>
      </c>
      <c r="C193" s="135" t="s">
        <v>101</v>
      </c>
      <c r="D193" s="135">
        <v>5614</v>
      </c>
      <c r="E193" s="135" t="s">
        <v>1449</v>
      </c>
      <c r="F193" s="135" t="s">
        <v>5</v>
      </c>
      <c r="G193" s="135"/>
      <c r="H193" s="131">
        <v>100</v>
      </c>
    </row>
    <row r="194" spans="1:8" x14ac:dyDescent="0.2">
      <c r="B194" s="135" t="s">
        <v>2741</v>
      </c>
      <c r="C194" s="135" t="s">
        <v>339</v>
      </c>
      <c r="D194" s="135" t="s">
        <v>2742</v>
      </c>
      <c r="E194" s="135"/>
      <c r="F194" s="135" t="s">
        <v>5</v>
      </c>
      <c r="G194" s="135" t="s">
        <v>2743</v>
      </c>
      <c r="H194" s="131">
        <v>175</v>
      </c>
    </row>
    <row r="195" spans="1:8" x14ac:dyDescent="0.2">
      <c r="B195" s="135" t="s">
        <v>2741</v>
      </c>
      <c r="C195" s="135" t="s">
        <v>339</v>
      </c>
      <c r="D195" s="135" t="s">
        <v>2742</v>
      </c>
      <c r="E195" s="135"/>
      <c r="F195" s="135" t="s">
        <v>5</v>
      </c>
      <c r="G195" s="135" t="s">
        <v>2743</v>
      </c>
      <c r="H195" s="131">
        <v>200</v>
      </c>
    </row>
    <row r="196" spans="1:8" x14ac:dyDescent="0.2">
      <c r="B196" s="135" t="s">
        <v>2741</v>
      </c>
      <c r="C196" s="135" t="s">
        <v>339</v>
      </c>
      <c r="D196" s="135" t="s">
        <v>2742</v>
      </c>
      <c r="E196" s="135"/>
      <c r="F196" s="135" t="s">
        <v>5</v>
      </c>
      <c r="G196" s="135" t="s">
        <v>2743</v>
      </c>
      <c r="H196" s="131">
        <v>250</v>
      </c>
    </row>
    <row r="197" spans="1:8" x14ac:dyDescent="0.2">
      <c r="B197" s="135" t="s">
        <v>2741</v>
      </c>
      <c r="C197" s="135" t="s">
        <v>339</v>
      </c>
      <c r="D197" s="135" t="s">
        <v>2742</v>
      </c>
      <c r="E197" s="135"/>
      <c r="F197" s="135" t="s">
        <v>5</v>
      </c>
      <c r="G197" s="135" t="s">
        <v>2743</v>
      </c>
      <c r="H197" s="131">
        <v>250</v>
      </c>
    </row>
    <row r="198" spans="1:8" x14ac:dyDescent="0.2">
      <c r="B198" s="135" t="s">
        <v>2741</v>
      </c>
      <c r="C198" s="135" t="s">
        <v>339</v>
      </c>
      <c r="D198" s="135" t="s">
        <v>2742</v>
      </c>
      <c r="E198" s="135"/>
      <c r="F198" s="135" t="s">
        <v>5</v>
      </c>
      <c r="G198" s="135" t="s">
        <v>2743</v>
      </c>
      <c r="H198" s="131">
        <v>1450</v>
      </c>
    </row>
    <row r="199" spans="1:8" x14ac:dyDescent="0.2">
      <c r="B199" s="135" t="s">
        <v>2741</v>
      </c>
      <c r="C199" s="135" t="s">
        <v>339</v>
      </c>
      <c r="D199" s="135" t="s">
        <v>2742</v>
      </c>
      <c r="E199" s="135"/>
      <c r="F199" s="135" t="s">
        <v>5</v>
      </c>
      <c r="G199" s="135" t="s">
        <v>2743</v>
      </c>
      <c r="H199" s="131">
        <v>875</v>
      </c>
    </row>
    <row r="200" spans="1:8" x14ac:dyDescent="0.2">
      <c r="B200" s="135" t="s">
        <v>2741</v>
      </c>
      <c r="C200" s="135" t="s">
        <v>339</v>
      </c>
      <c r="D200" s="135" t="s">
        <v>2742</v>
      </c>
      <c r="E200" s="135"/>
      <c r="F200" s="135" t="s">
        <v>5</v>
      </c>
      <c r="G200" s="135" t="s">
        <v>2743</v>
      </c>
      <c r="H200" s="131">
        <v>700</v>
      </c>
    </row>
    <row r="201" spans="1:8" x14ac:dyDescent="0.2">
      <c r="B201" s="135" t="s">
        <v>2741</v>
      </c>
      <c r="C201" s="135" t="s">
        <v>339</v>
      </c>
      <c r="D201" s="135" t="s">
        <v>2742</v>
      </c>
      <c r="E201" s="135"/>
      <c r="F201" s="135" t="s">
        <v>5</v>
      </c>
      <c r="G201" s="135" t="s">
        <v>2743</v>
      </c>
      <c r="H201" s="131">
        <v>500</v>
      </c>
    </row>
    <row r="202" spans="1:8" x14ac:dyDescent="0.2">
      <c r="B202" s="135" t="s">
        <v>2741</v>
      </c>
      <c r="C202" s="135" t="s">
        <v>339</v>
      </c>
      <c r="D202" s="135" t="s">
        <v>2742</v>
      </c>
      <c r="E202" s="135"/>
      <c r="F202" s="135" t="s">
        <v>5</v>
      </c>
      <c r="G202" s="135" t="s">
        <v>2743</v>
      </c>
      <c r="H202" s="131">
        <v>250</v>
      </c>
    </row>
    <row r="203" spans="1:8" x14ac:dyDescent="0.2">
      <c r="A203" s="129" t="s">
        <v>995</v>
      </c>
      <c r="H203" s="132">
        <v>87011.47</v>
      </c>
    </row>
    <row r="204" spans="1:8" x14ac:dyDescent="0.2">
      <c r="A204" s="129" t="s">
        <v>1329</v>
      </c>
    </row>
    <row r="205" spans="1:8" x14ac:dyDescent="0.2">
      <c r="B205" s="135" t="s">
        <v>821</v>
      </c>
      <c r="C205" s="135" t="s">
        <v>100</v>
      </c>
      <c r="D205" s="135" t="s">
        <v>1330</v>
      </c>
      <c r="E205" s="135" t="s">
        <v>1331</v>
      </c>
      <c r="F205" s="135" t="s">
        <v>5</v>
      </c>
      <c r="G205" s="135" t="s">
        <v>1332</v>
      </c>
      <c r="H205" s="131">
        <v>4300</v>
      </c>
    </row>
    <row r="206" spans="1:8" x14ac:dyDescent="0.2">
      <c r="B206" s="135" t="s">
        <v>821</v>
      </c>
      <c r="C206" s="135" t="s">
        <v>100</v>
      </c>
      <c r="D206" s="135" t="s">
        <v>1333</v>
      </c>
      <c r="E206" s="135" t="s">
        <v>1331</v>
      </c>
      <c r="F206" s="135" t="s">
        <v>5</v>
      </c>
      <c r="G206" s="135" t="s">
        <v>1334</v>
      </c>
      <c r="H206" s="131">
        <v>4350</v>
      </c>
    </row>
    <row r="207" spans="1:8" x14ac:dyDescent="0.2">
      <c r="B207" s="135" t="s">
        <v>1179</v>
      </c>
      <c r="C207" s="135" t="s">
        <v>339</v>
      </c>
      <c r="D207" s="135" t="s">
        <v>1335</v>
      </c>
      <c r="E207" s="135"/>
      <c r="F207" s="135" t="s">
        <v>5</v>
      </c>
      <c r="G207" s="135"/>
      <c r="H207" s="131">
        <v>600</v>
      </c>
    </row>
    <row r="208" spans="1:8" x14ac:dyDescent="0.2">
      <c r="B208" s="135" t="s">
        <v>1305</v>
      </c>
      <c r="C208" s="135" t="s">
        <v>973</v>
      </c>
      <c r="D208" s="135" t="s">
        <v>1336</v>
      </c>
      <c r="E208" s="135" t="s">
        <v>1337</v>
      </c>
      <c r="F208" s="135" t="s">
        <v>5</v>
      </c>
      <c r="G208" s="135" t="s">
        <v>1338</v>
      </c>
      <c r="H208" s="131">
        <v>258</v>
      </c>
    </row>
    <row r="209" spans="2:8" x14ac:dyDescent="0.2">
      <c r="B209" s="135" t="s">
        <v>1447</v>
      </c>
      <c r="C209" s="135" t="s">
        <v>973</v>
      </c>
      <c r="D209" s="135" t="s">
        <v>1503</v>
      </c>
      <c r="E209" s="135" t="s">
        <v>1504</v>
      </c>
      <c r="F209" s="135" t="s">
        <v>5</v>
      </c>
      <c r="G209" s="135"/>
      <c r="H209" s="131">
        <v>268</v>
      </c>
    </row>
    <row r="210" spans="2:8" x14ac:dyDescent="0.2">
      <c r="B210" s="135" t="s">
        <v>1462</v>
      </c>
      <c r="C210" s="135" t="s">
        <v>973</v>
      </c>
      <c r="D210" s="135" t="s">
        <v>1505</v>
      </c>
      <c r="E210" s="135" t="s">
        <v>1343</v>
      </c>
      <c r="F210" s="135" t="s">
        <v>5</v>
      </c>
      <c r="G210" s="135" t="s">
        <v>1506</v>
      </c>
      <c r="H210" s="131">
        <v>193</v>
      </c>
    </row>
    <row r="211" spans="2:8" x14ac:dyDescent="0.2">
      <c r="B211" s="135" t="s">
        <v>1507</v>
      </c>
      <c r="C211" s="135" t="s">
        <v>973</v>
      </c>
      <c r="D211" s="135" t="s">
        <v>1508</v>
      </c>
      <c r="E211" s="135" t="s">
        <v>1343</v>
      </c>
      <c r="F211" s="135" t="s">
        <v>5</v>
      </c>
      <c r="G211" s="135" t="s">
        <v>1509</v>
      </c>
      <c r="H211" s="131">
        <v>348.3</v>
      </c>
    </row>
    <row r="212" spans="2:8" x14ac:dyDescent="0.2">
      <c r="B212" s="135" t="s">
        <v>1484</v>
      </c>
      <c r="C212" s="135" t="s">
        <v>339</v>
      </c>
      <c r="D212" s="135" t="s">
        <v>1541</v>
      </c>
      <c r="E212" s="135"/>
      <c r="F212" s="135" t="s">
        <v>5</v>
      </c>
      <c r="G212" s="135"/>
      <c r="H212" s="131">
        <v>1693</v>
      </c>
    </row>
    <row r="213" spans="2:8" x14ac:dyDescent="0.2">
      <c r="B213" s="135" t="s">
        <v>1620</v>
      </c>
      <c r="C213" s="135" t="s">
        <v>973</v>
      </c>
      <c r="D213" s="135" t="s">
        <v>1629</v>
      </c>
      <c r="E213" s="135" t="s">
        <v>1630</v>
      </c>
      <c r="F213" s="135" t="s">
        <v>5</v>
      </c>
      <c r="G213" s="135"/>
      <c r="H213" s="131">
        <v>3300</v>
      </c>
    </row>
    <row r="214" spans="2:8" x14ac:dyDescent="0.2">
      <c r="B214" s="135" t="s">
        <v>1624</v>
      </c>
      <c r="C214" s="135" t="s">
        <v>339</v>
      </c>
      <c r="D214" s="135" t="s">
        <v>1813</v>
      </c>
      <c r="E214" s="135"/>
      <c r="F214" s="135" t="s">
        <v>5</v>
      </c>
      <c r="G214" s="135" t="s">
        <v>1814</v>
      </c>
      <c r="H214" s="131">
        <v>308</v>
      </c>
    </row>
    <row r="215" spans="2:8" x14ac:dyDescent="0.2">
      <c r="B215" s="135" t="s">
        <v>1624</v>
      </c>
      <c r="C215" s="135" t="s">
        <v>339</v>
      </c>
      <c r="D215" s="135" t="s">
        <v>1813</v>
      </c>
      <c r="E215" s="135"/>
      <c r="F215" s="135" t="s">
        <v>5</v>
      </c>
      <c r="G215" s="135" t="s">
        <v>1817</v>
      </c>
      <c r="H215" s="131">
        <v>377</v>
      </c>
    </row>
    <row r="216" spans="2:8" x14ac:dyDescent="0.2">
      <c r="B216" s="135" t="s">
        <v>1624</v>
      </c>
      <c r="C216" s="135" t="s">
        <v>339</v>
      </c>
      <c r="D216" s="135" t="s">
        <v>1625</v>
      </c>
      <c r="E216" s="135"/>
      <c r="F216" s="135" t="s">
        <v>5</v>
      </c>
      <c r="G216" s="135" t="s">
        <v>1641</v>
      </c>
      <c r="H216" s="131">
        <v>329</v>
      </c>
    </row>
    <row r="217" spans="2:8" x14ac:dyDescent="0.2">
      <c r="B217" s="135" t="s">
        <v>1624</v>
      </c>
      <c r="C217" s="135" t="s">
        <v>339</v>
      </c>
      <c r="D217" s="135" t="s">
        <v>1813</v>
      </c>
      <c r="E217" s="135"/>
      <c r="F217" s="135" t="s">
        <v>5</v>
      </c>
      <c r="G217" s="135" t="s">
        <v>1815</v>
      </c>
      <c r="H217" s="131">
        <v>308</v>
      </c>
    </row>
    <row r="218" spans="2:8" x14ac:dyDescent="0.2">
      <c r="B218" s="135" t="s">
        <v>1624</v>
      </c>
      <c r="C218" s="135" t="s">
        <v>339</v>
      </c>
      <c r="D218" s="135" t="s">
        <v>1813</v>
      </c>
      <c r="E218" s="135"/>
      <c r="F218" s="135" t="s">
        <v>5</v>
      </c>
      <c r="G218" s="135" t="s">
        <v>1816</v>
      </c>
      <c r="H218" s="131">
        <v>120</v>
      </c>
    </row>
    <row r="219" spans="2:8" x14ac:dyDescent="0.2">
      <c r="B219" s="135" t="s">
        <v>1796</v>
      </c>
      <c r="C219" s="135" t="s">
        <v>101</v>
      </c>
      <c r="D219" s="135">
        <v>158</v>
      </c>
      <c r="E219" s="135"/>
      <c r="F219" s="135" t="s">
        <v>5</v>
      </c>
      <c r="G219" s="135"/>
      <c r="H219" s="131">
        <v>129</v>
      </c>
    </row>
    <row r="220" spans="2:8" x14ac:dyDescent="0.2">
      <c r="B220" s="135" t="s">
        <v>1796</v>
      </c>
      <c r="C220" s="135" t="s">
        <v>101</v>
      </c>
      <c r="D220" s="135"/>
      <c r="E220" s="135"/>
      <c r="F220" s="135" t="s">
        <v>5</v>
      </c>
      <c r="G220" s="135"/>
      <c r="H220" s="131">
        <v>1006</v>
      </c>
    </row>
    <row r="221" spans="2:8" x14ac:dyDescent="0.2">
      <c r="B221" s="135" t="s">
        <v>1796</v>
      </c>
      <c r="C221" s="135" t="s">
        <v>973</v>
      </c>
      <c r="D221" s="135" t="s">
        <v>1818</v>
      </c>
      <c r="E221" s="135" t="s">
        <v>1819</v>
      </c>
      <c r="F221" s="135" t="s">
        <v>5</v>
      </c>
      <c r="G221" s="135"/>
      <c r="H221" s="131">
        <v>475</v>
      </c>
    </row>
    <row r="222" spans="2:8" x14ac:dyDescent="0.2">
      <c r="B222" s="135" t="s">
        <v>2088</v>
      </c>
      <c r="C222" s="135" t="s">
        <v>339</v>
      </c>
      <c r="D222" s="135" t="s">
        <v>2089</v>
      </c>
      <c r="E222" s="135"/>
      <c r="F222" s="135" t="s">
        <v>5</v>
      </c>
      <c r="G222" s="135" t="s">
        <v>2091</v>
      </c>
      <c r="H222" s="131">
        <v>695</v>
      </c>
    </row>
    <row r="223" spans="2:8" x14ac:dyDescent="0.2">
      <c r="B223" s="135" t="s">
        <v>2088</v>
      </c>
      <c r="C223" s="135" t="s">
        <v>339</v>
      </c>
      <c r="D223" s="135" t="s">
        <v>2089</v>
      </c>
      <c r="E223" s="135"/>
      <c r="F223" s="135" t="s">
        <v>5</v>
      </c>
      <c r="G223" s="135" t="s">
        <v>2090</v>
      </c>
      <c r="H223" s="131">
        <v>437</v>
      </c>
    </row>
    <row r="224" spans="2:8" x14ac:dyDescent="0.2">
      <c r="B224" s="135" t="s">
        <v>2081</v>
      </c>
      <c r="C224" s="135" t="s">
        <v>339</v>
      </c>
      <c r="D224" s="135" t="s">
        <v>2082</v>
      </c>
      <c r="E224" s="135"/>
      <c r="F224" s="135" t="s">
        <v>5</v>
      </c>
      <c r="G224" s="135" t="s">
        <v>2092</v>
      </c>
      <c r="H224" s="131">
        <v>475</v>
      </c>
    </row>
    <row r="225" spans="2:8" x14ac:dyDescent="0.2">
      <c r="B225" s="135" t="s">
        <v>2081</v>
      </c>
      <c r="C225" s="135" t="s">
        <v>339</v>
      </c>
      <c r="D225" s="135" t="s">
        <v>2082</v>
      </c>
      <c r="E225" s="135"/>
      <c r="F225" s="135" t="s">
        <v>5</v>
      </c>
      <c r="G225" s="135" t="s">
        <v>2223</v>
      </c>
      <c r="H225" s="131">
        <v>30</v>
      </c>
    </row>
    <row r="226" spans="2:8" x14ac:dyDescent="0.2">
      <c r="B226" s="135" t="s">
        <v>2224</v>
      </c>
      <c r="C226" s="135" t="s">
        <v>339</v>
      </c>
      <c r="D226" s="135" t="s">
        <v>2225</v>
      </c>
      <c r="E226" s="135"/>
      <c r="F226" s="135" t="s">
        <v>5</v>
      </c>
      <c r="G226" s="135"/>
      <c r="H226" s="131">
        <v>526</v>
      </c>
    </row>
    <row r="227" spans="2:8" x14ac:dyDescent="0.2">
      <c r="B227" s="135" t="s">
        <v>2224</v>
      </c>
      <c r="C227" s="135" t="s">
        <v>339</v>
      </c>
      <c r="D227" s="135" t="s">
        <v>2225</v>
      </c>
      <c r="E227" s="135"/>
      <c r="F227" s="135" t="s">
        <v>5</v>
      </c>
      <c r="G227" s="135"/>
      <c r="H227" s="131">
        <v>4952</v>
      </c>
    </row>
    <row r="228" spans="2:8" x14ac:dyDescent="0.2">
      <c r="B228" s="135" t="s">
        <v>2226</v>
      </c>
      <c r="C228" s="135" t="s">
        <v>973</v>
      </c>
      <c r="D228" s="135" t="s">
        <v>2227</v>
      </c>
      <c r="E228" s="135" t="s">
        <v>2228</v>
      </c>
      <c r="F228" s="135" t="s">
        <v>5</v>
      </c>
      <c r="G228" s="135"/>
      <c r="H228" s="131">
        <v>526</v>
      </c>
    </row>
    <row r="229" spans="2:8" x14ac:dyDescent="0.2">
      <c r="B229" s="135" t="s">
        <v>2229</v>
      </c>
      <c r="C229" s="135" t="s">
        <v>339</v>
      </c>
      <c r="D229" s="135" t="s">
        <v>2230</v>
      </c>
      <c r="E229" s="135"/>
      <c r="F229" s="135" t="s">
        <v>5</v>
      </c>
      <c r="G229" s="135"/>
      <c r="H229" s="131">
        <v>387</v>
      </c>
    </row>
    <row r="230" spans="2:8" x14ac:dyDescent="0.2">
      <c r="B230" s="135" t="s">
        <v>2229</v>
      </c>
      <c r="C230" s="135" t="s">
        <v>339</v>
      </c>
      <c r="D230" s="135" t="s">
        <v>2230</v>
      </c>
      <c r="E230" s="135"/>
      <c r="F230" s="135" t="s">
        <v>5</v>
      </c>
      <c r="G230" s="135"/>
      <c r="H230" s="131">
        <v>417</v>
      </c>
    </row>
    <row r="231" spans="2:8" x14ac:dyDescent="0.2">
      <c r="B231" s="135" t="s">
        <v>2229</v>
      </c>
      <c r="C231" s="135" t="s">
        <v>339</v>
      </c>
      <c r="D231" s="135" t="s">
        <v>2230</v>
      </c>
      <c r="E231" s="135"/>
      <c r="F231" s="135" t="s">
        <v>5</v>
      </c>
      <c r="G231" s="135"/>
      <c r="H231" s="131">
        <v>417</v>
      </c>
    </row>
    <row r="232" spans="2:8" x14ac:dyDescent="0.2">
      <c r="B232" s="135" t="s">
        <v>2229</v>
      </c>
      <c r="C232" s="135" t="s">
        <v>339</v>
      </c>
      <c r="D232" s="135" t="s">
        <v>2230</v>
      </c>
      <c r="E232" s="135"/>
      <c r="F232" s="135" t="s">
        <v>5</v>
      </c>
      <c r="G232" s="135"/>
      <c r="H232" s="131">
        <v>100</v>
      </c>
    </row>
    <row r="233" spans="2:8" x14ac:dyDescent="0.2">
      <c r="B233" s="135" t="s">
        <v>2221</v>
      </c>
      <c r="C233" s="135" t="s">
        <v>973</v>
      </c>
      <c r="D233" s="135" t="s">
        <v>2235</v>
      </c>
      <c r="E233" s="135" t="s">
        <v>2236</v>
      </c>
      <c r="F233" s="135" t="s">
        <v>5</v>
      </c>
      <c r="G233" s="135"/>
      <c r="H233" s="131">
        <v>100</v>
      </c>
    </row>
    <row r="234" spans="2:8" x14ac:dyDescent="0.2">
      <c r="B234" s="135" t="s">
        <v>2221</v>
      </c>
      <c r="C234" s="135" t="s">
        <v>101</v>
      </c>
      <c r="D234" s="135">
        <v>2850</v>
      </c>
      <c r="E234" s="135"/>
      <c r="F234" s="135" t="s">
        <v>5</v>
      </c>
      <c r="G234" s="135"/>
      <c r="H234" s="131">
        <v>8900</v>
      </c>
    </row>
    <row r="235" spans="2:8" x14ac:dyDescent="0.2">
      <c r="B235" s="135" t="s">
        <v>2221</v>
      </c>
      <c r="C235" s="135" t="s">
        <v>973</v>
      </c>
      <c r="D235" s="135" t="s">
        <v>2231</v>
      </c>
      <c r="E235" s="135" t="s">
        <v>2232</v>
      </c>
      <c r="F235" s="135" t="s">
        <v>5</v>
      </c>
      <c r="G235" s="135"/>
      <c r="H235" s="131">
        <v>10000</v>
      </c>
    </row>
    <row r="236" spans="2:8" x14ac:dyDescent="0.2">
      <c r="B236" s="135" t="s">
        <v>2221</v>
      </c>
      <c r="C236" s="135" t="s">
        <v>973</v>
      </c>
      <c r="D236" s="135" t="s">
        <v>2233</v>
      </c>
      <c r="E236" s="135" t="s">
        <v>2234</v>
      </c>
      <c r="F236" s="135" t="s">
        <v>5</v>
      </c>
      <c r="G236" s="135"/>
      <c r="H236" s="131">
        <v>300</v>
      </c>
    </row>
    <row r="237" spans="2:8" x14ac:dyDescent="0.2">
      <c r="B237" s="135" t="s">
        <v>2237</v>
      </c>
      <c r="C237" s="135" t="s">
        <v>973</v>
      </c>
      <c r="D237" s="135" t="s">
        <v>2238</v>
      </c>
      <c r="E237" s="135" t="s">
        <v>2239</v>
      </c>
      <c r="F237" s="135" t="s">
        <v>5</v>
      </c>
      <c r="G237" s="135"/>
      <c r="H237" s="131">
        <v>108</v>
      </c>
    </row>
    <row r="238" spans="2:8" x14ac:dyDescent="0.2">
      <c r="B238" s="135" t="s">
        <v>2240</v>
      </c>
      <c r="C238" s="135" t="s">
        <v>339</v>
      </c>
      <c r="D238" s="135" t="s">
        <v>2241</v>
      </c>
      <c r="E238" s="135"/>
      <c r="F238" s="135" t="s">
        <v>5</v>
      </c>
      <c r="G238" s="135" t="s">
        <v>2242</v>
      </c>
      <c r="H238" s="131">
        <v>100</v>
      </c>
    </row>
    <row r="239" spans="2:8" x14ac:dyDescent="0.2">
      <c r="B239" s="135" t="s">
        <v>2355</v>
      </c>
      <c r="C239" s="135" t="s">
        <v>339</v>
      </c>
      <c r="D239" s="135" t="s">
        <v>2485</v>
      </c>
      <c r="E239" s="135"/>
      <c r="F239" s="135" t="s">
        <v>5</v>
      </c>
      <c r="G239" s="135" t="s">
        <v>2242</v>
      </c>
      <c r="H239" s="131">
        <v>-100</v>
      </c>
    </row>
    <row r="240" spans="2:8" x14ac:dyDescent="0.2">
      <c r="B240" s="135" t="s">
        <v>2340</v>
      </c>
      <c r="C240" s="135" t="s">
        <v>973</v>
      </c>
      <c r="D240" s="135" t="s">
        <v>2343</v>
      </c>
      <c r="E240" s="135" t="s">
        <v>2344</v>
      </c>
      <c r="F240" s="135" t="s">
        <v>5</v>
      </c>
      <c r="G240" s="135"/>
      <c r="H240" s="131">
        <v>268</v>
      </c>
    </row>
    <row r="241" spans="1:8" x14ac:dyDescent="0.2">
      <c r="B241" s="135" t="s">
        <v>2340</v>
      </c>
      <c r="C241" s="135" t="s">
        <v>973</v>
      </c>
      <c r="D241" s="135" t="s">
        <v>2341</v>
      </c>
      <c r="E241" s="135" t="s">
        <v>2342</v>
      </c>
      <c r="F241" s="135" t="s">
        <v>5</v>
      </c>
      <c r="G241" s="135"/>
      <c r="H241" s="131">
        <v>308</v>
      </c>
    </row>
    <row r="242" spans="1:8" x14ac:dyDescent="0.2">
      <c r="B242" s="135" t="s">
        <v>2340</v>
      </c>
      <c r="C242" s="135" t="s">
        <v>973</v>
      </c>
      <c r="D242" s="135" t="s">
        <v>2345</v>
      </c>
      <c r="E242" s="135" t="s">
        <v>2346</v>
      </c>
      <c r="F242" s="135" t="s">
        <v>5</v>
      </c>
      <c r="G242" s="135"/>
      <c r="H242" s="131">
        <v>268</v>
      </c>
    </row>
    <row r="243" spans="1:8" x14ac:dyDescent="0.2">
      <c r="B243" s="135" t="s">
        <v>2347</v>
      </c>
      <c r="C243" s="135" t="s">
        <v>973</v>
      </c>
      <c r="D243" s="135" t="s">
        <v>2348</v>
      </c>
      <c r="E243" s="135" t="s">
        <v>2220</v>
      </c>
      <c r="F243" s="135" t="s">
        <v>5</v>
      </c>
      <c r="G243" s="135"/>
      <c r="H243" s="131">
        <v>1009.8</v>
      </c>
    </row>
    <row r="244" spans="1:8" x14ac:dyDescent="0.2">
      <c r="B244" s="135" t="s">
        <v>2349</v>
      </c>
      <c r="C244" s="135" t="s">
        <v>973</v>
      </c>
      <c r="D244" s="135" t="s">
        <v>2350</v>
      </c>
      <c r="E244" s="135" t="s">
        <v>2351</v>
      </c>
      <c r="F244" s="135" t="s">
        <v>5</v>
      </c>
      <c r="G244" s="135"/>
      <c r="H244" s="131">
        <v>385.2</v>
      </c>
    </row>
    <row r="245" spans="1:8" x14ac:dyDescent="0.2">
      <c r="B245" s="135" t="s">
        <v>2352</v>
      </c>
      <c r="C245" s="135" t="s">
        <v>973</v>
      </c>
      <c r="D245" s="135" t="s">
        <v>2353</v>
      </c>
      <c r="E245" s="135" t="s">
        <v>2354</v>
      </c>
      <c r="F245" s="135" t="s">
        <v>5</v>
      </c>
      <c r="G245" s="135"/>
      <c r="H245" s="131">
        <v>223.5</v>
      </c>
    </row>
    <row r="246" spans="1:8" x14ac:dyDescent="0.2">
      <c r="B246" s="135" t="s">
        <v>2551</v>
      </c>
      <c r="C246" s="135" t="s">
        <v>101</v>
      </c>
      <c r="D246" s="135"/>
      <c r="E246" s="135" t="s">
        <v>2552</v>
      </c>
      <c r="F246" s="135" t="s">
        <v>5</v>
      </c>
      <c r="G246" s="135"/>
      <c r="H246" s="131">
        <v>89.5</v>
      </c>
    </row>
    <row r="247" spans="1:8" x14ac:dyDescent="0.2">
      <c r="B247" s="135" t="s">
        <v>2738</v>
      </c>
      <c r="C247" s="135" t="s">
        <v>101</v>
      </c>
      <c r="D247" s="135">
        <v>1595</v>
      </c>
      <c r="E247" s="135"/>
      <c r="F247" s="135" t="s">
        <v>5</v>
      </c>
      <c r="G247" s="135"/>
      <c r="H247" s="131">
        <v>250</v>
      </c>
    </row>
    <row r="248" spans="1:8" x14ac:dyDescent="0.2">
      <c r="B248" s="135" t="s">
        <v>2741</v>
      </c>
      <c r="C248" s="135" t="s">
        <v>339</v>
      </c>
      <c r="D248" s="135" t="s">
        <v>2742</v>
      </c>
      <c r="E248" s="135"/>
      <c r="F248" s="135" t="s">
        <v>5</v>
      </c>
      <c r="G248" s="135" t="s">
        <v>2743</v>
      </c>
      <c r="H248" s="131">
        <v>1000</v>
      </c>
    </row>
    <row r="249" spans="1:8" x14ac:dyDescent="0.2">
      <c r="B249" s="135" t="s">
        <v>2741</v>
      </c>
      <c r="C249" s="135" t="s">
        <v>339</v>
      </c>
      <c r="D249" s="135" t="s">
        <v>2742</v>
      </c>
      <c r="E249" s="135"/>
      <c r="F249" s="135" t="s">
        <v>5</v>
      </c>
      <c r="G249" s="135" t="s">
        <v>2743</v>
      </c>
      <c r="H249" s="131">
        <v>500</v>
      </c>
    </row>
    <row r="250" spans="1:8" x14ac:dyDescent="0.2">
      <c r="B250" s="135" t="s">
        <v>2741</v>
      </c>
      <c r="C250" s="135" t="s">
        <v>339</v>
      </c>
      <c r="D250" s="135" t="s">
        <v>2742</v>
      </c>
      <c r="E250" s="135"/>
      <c r="F250" s="135" t="s">
        <v>5</v>
      </c>
      <c r="G250" s="135" t="s">
        <v>2743</v>
      </c>
      <c r="H250" s="131">
        <v>500</v>
      </c>
    </row>
    <row r="251" spans="1:8" x14ac:dyDescent="0.2">
      <c r="B251" s="135" t="s">
        <v>2741</v>
      </c>
      <c r="C251" s="135" t="s">
        <v>339</v>
      </c>
      <c r="D251" s="135" t="s">
        <v>2742</v>
      </c>
      <c r="E251" s="135"/>
      <c r="F251" s="135" t="s">
        <v>5</v>
      </c>
      <c r="G251" s="135" t="s">
        <v>2743</v>
      </c>
      <c r="H251" s="131">
        <v>1000</v>
      </c>
    </row>
    <row r="252" spans="1:8" x14ac:dyDescent="0.2">
      <c r="A252" s="129" t="s">
        <v>1339</v>
      </c>
      <c r="H252" s="132">
        <v>52534.3</v>
      </c>
    </row>
    <row r="253" spans="1:8" x14ac:dyDescent="0.2">
      <c r="A253" s="129" t="s">
        <v>1340</v>
      </c>
    </row>
    <row r="254" spans="1:8" x14ac:dyDescent="0.2">
      <c r="B254" s="135" t="s">
        <v>1341</v>
      </c>
      <c r="C254" s="135" t="s">
        <v>973</v>
      </c>
      <c r="D254" s="135" t="s">
        <v>1342</v>
      </c>
      <c r="E254" s="135" t="s">
        <v>1343</v>
      </c>
      <c r="F254" s="135" t="s">
        <v>5</v>
      </c>
      <c r="G254" s="135" t="s">
        <v>1344</v>
      </c>
      <c r="H254" s="131">
        <v>193.5</v>
      </c>
    </row>
    <row r="255" spans="1:8" x14ac:dyDescent="0.2">
      <c r="B255" s="135" t="s">
        <v>1341</v>
      </c>
      <c r="C255" s="135" t="s">
        <v>973</v>
      </c>
      <c r="D255" s="135" t="s">
        <v>1342</v>
      </c>
      <c r="E255" s="135" t="s">
        <v>1343</v>
      </c>
      <c r="F255" s="135" t="s">
        <v>5</v>
      </c>
      <c r="G255" s="135" t="s">
        <v>1344</v>
      </c>
      <c r="H255" s="131">
        <v>200</v>
      </c>
    </row>
    <row r="256" spans="1:8" x14ac:dyDescent="0.2">
      <c r="A256" s="129" t="s">
        <v>1345</v>
      </c>
      <c r="H256" s="132">
        <v>393.5</v>
      </c>
    </row>
    <row r="257" spans="1:8" x14ac:dyDescent="0.2">
      <c r="A257" s="129" t="s">
        <v>996</v>
      </c>
      <c r="H257" s="132">
        <v>139939.26999999999</v>
      </c>
    </row>
    <row r="258" spans="1:8" x14ac:dyDescent="0.2">
      <c r="A258" s="129" t="s">
        <v>350</v>
      </c>
    </row>
    <row r="259" spans="1:8" x14ac:dyDescent="0.2">
      <c r="A259" s="129" t="s">
        <v>351</v>
      </c>
    </row>
    <row r="260" spans="1:8" x14ac:dyDescent="0.2">
      <c r="A260" s="129" t="s">
        <v>997</v>
      </c>
    </row>
    <row r="261" spans="1:8" x14ac:dyDescent="0.2">
      <c r="B261" s="135" t="s">
        <v>894</v>
      </c>
      <c r="C261" s="135" t="s">
        <v>339</v>
      </c>
      <c r="D261" s="135" t="s">
        <v>969</v>
      </c>
      <c r="E261" s="135"/>
      <c r="F261" s="135" t="s">
        <v>5</v>
      </c>
      <c r="G261" s="135" t="s">
        <v>1000</v>
      </c>
      <c r="H261" s="131">
        <v>100</v>
      </c>
    </row>
    <row r="262" spans="1:8" x14ac:dyDescent="0.2">
      <c r="B262" s="135" t="s">
        <v>894</v>
      </c>
      <c r="C262" s="135" t="s">
        <v>339</v>
      </c>
      <c r="D262" s="135" t="s">
        <v>969</v>
      </c>
      <c r="E262" s="135"/>
      <c r="F262" s="135" t="s">
        <v>5</v>
      </c>
      <c r="G262" s="135" t="s">
        <v>998</v>
      </c>
      <c r="H262" s="131">
        <v>500</v>
      </c>
    </row>
    <row r="263" spans="1:8" x14ac:dyDescent="0.2">
      <c r="B263" s="135" t="s">
        <v>894</v>
      </c>
      <c r="C263" s="135" t="s">
        <v>339</v>
      </c>
      <c r="D263" s="135" t="s">
        <v>969</v>
      </c>
      <c r="E263" s="135"/>
      <c r="F263" s="135" t="s">
        <v>5</v>
      </c>
      <c r="G263" s="135" t="s">
        <v>999</v>
      </c>
      <c r="H263" s="131">
        <v>75</v>
      </c>
    </row>
    <row r="264" spans="1:8" x14ac:dyDescent="0.2">
      <c r="B264" s="135" t="s">
        <v>824</v>
      </c>
      <c r="C264" s="135" t="s">
        <v>339</v>
      </c>
      <c r="D264" s="135" t="s">
        <v>825</v>
      </c>
      <c r="E264" s="135"/>
      <c r="F264" s="135" t="s">
        <v>5</v>
      </c>
      <c r="G264" s="135"/>
      <c r="H264" s="131">
        <v>100</v>
      </c>
    </row>
    <row r="265" spans="1:8" x14ac:dyDescent="0.2">
      <c r="B265" s="135" t="s">
        <v>972</v>
      </c>
      <c r="C265" s="135" t="s">
        <v>973</v>
      </c>
      <c r="D265" s="135" t="s">
        <v>1003</v>
      </c>
      <c r="E265" s="135" t="s">
        <v>113</v>
      </c>
      <c r="F265" s="135" t="s">
        <v>5</v>
      </c>
      <c r="G265" s="135"/>
      <c r="H265" s="131">
        <v>300</v>
      </c>
    </row>
    <row r="266" spans="1:8" x14ac:dyDescent="0.2">
      <c r="B266" s="135" t="s">
        <v>972</v>
      </c>
      <c r="C266" s="135" t="s">
        <v>973</v>
      </c>
      <c r="D266" s="135" t="s">
        <v>1002</v>
      </c>
      <c r="E266" s="135" t="s">
        <v>133</v>
      </c>
      <c r="F266" s="135" t="s">
        <v>5</v>
      </c>
      <c r="G266" s="135"/>
      <c r="H266" s="131">
        <v>250</v>
      </c>
    </row>
    <row r="267" spans="1:8" x14ac:dyDescent="0.2">
      <c r="B267" s="135" t="s">
        <v>972</v>
      </c>
      <c r="C267" s="135" t="s">
        <v>973</v>
      </c>
      <c r="D267" s="135" t="s">
        <v>980</v>
      </c>
      <c r="E267" s="135" t="s">
        <v>981</v>
      </c>
      <c r="F267" s="135" t="s">
        <v>5</v>
      </c>
      <c r="G267" s="135"/>
      <c r="H267" s="131">
        <v>100</v>
      </c>
    </row>
    <row r="268" spans="1:8" x14ac:dyDescent="0.2">
      <c r="B268" s="135" t="s">
        <v>972</v>
      </c>
      <c r="C268" s="135" t="s">
        <v>973</v>
      </c>
      <c r="D268" s="135" t="s">
        <v>1001</v>
      </c>
      <c r="E268" s="135"/>
      <c r="F268" s="135" t="s">
        <v>5</v>
      </c>
      <c r="G268" s="135"/>
      <c r="H268" s="131">
        <v>1182.5</v>
      </c>
    </row>
    <row r="269" spans="1:8" x14ac:dyDescent="0.2">
      <c r="B269" s="135" t="s">
        <v>1197</v>
      </c>
      <c r="C269" s="135" t="s">
        <v>339</v>
      </c>
      <c r="D269" s="135" t="s">
        <v>1346</v>
      </c>
      <c r="E269" s="135"/>
      <c r="F269" s="135" t="s">
        <v>5</v>
      </c>
      <c r="G269" s="135"/>
      <c r="H269" s="131">
        <v>20</v>
      </c>
    </row>
    <row r="270" spans="1:8" x14ac:dyDescent="0.2">
      <c r="B270" s="135" t="s">
        <v>1149</v>
      </c>
      <c r="C270" s="135" t="s">
        <v>973</v>
      </c>
      <c r="D270" s="135" t="s">
        <v>1150</v>
      </c>
      <c r="E270" s="135" t="s">
        <v>1151</v>
      </c>
      <c r="F270" s="135" t="s">
        <v>5</v>
      </c>
      <c r="G270" s="135" t="s">
        <v>1152</v>
      </c>
      <c r="H270" s="131">
        <v>300</v>
      </c>
    </row>
    <row r="271" spans="1:8" x14ac:dyDescent="0.2">
      <c r="B271" s="135" t="s">
        <v>1173</v>
      </c>
      <c r="C271" s="135" t="s">
        <v>339</v>
      </c>
      <c r="D271" s="135" t="s">
        <v>1347</v>
      </c>
      <c r="E271" s="135"/>
      <c r="F271" s="135" t="s">
        <v>5</v>
      </c>
      <c r="G271" s="135"/>
      <c r="H271" s="131">
        <v>25</v>
      </c>
    </row>
    <row r="272" spans="1:8" x14ac:dyDescent="0.2">
      <c r="B272" s="135" t="s">
        <v>1142</v>
      </c>
      <c r="C272" s="135" t="s">
        <v>973</v>
      </c>
      <c r="D272" s="135" t="s">
        <v>1155</v>
      </c>
      <c r="E272" s="135" t="s">
        <v>1156</v>
      </c>
      <c r="F272" s="135" t="s">
        <v>5</v>
      </c>
      <c r="G272" s="135"/>
      <c r="H272" s="131">
        <v>1000</v>
      </c>
    </row>
    <row r="273" spans="2:8" x14ac:dyDescent="0.2">
      <c r="B273" s="135" t="s">
        <v>1142</v>
      </c>
      <c r="C273" s="135" t="s">
        <v>973</v>
      </c>
      <c r="D273" s="135" t="s">
        <v>1153</v>
      </c>
      <c r="E273" s="135" t="s">
        <v>1154</v>
      </c>
      <c r="F273" s="135" t="s">
        <v>5</v>
      </c>
      <c r="G273" s="135"/>
      <c r="H273" s="131">
        <v>500</v>
      </c>
    </row>
    <row r="274" spans="2:8" x14ac:dyDescent="0.2">
      <c r="B274" s="135" t="s">
        <v>1142</v>
      </c>
      <c r="C274" s="135" t="s">
        <v>973</v>
      </c>
      <c r="D274" s="135" t="s">
        <v>1157</v>
      </c>
      <c r="E274" s="135" t="s">
        <v>144</v>
      </c>
      <c r="F274" s="135" t="s">
        <v>5</v>
      </c>
      <c r="G274" s="135"/>
      <c r="H274" s="131">
        <v>250</v>
      </c>
    </row>
    <row r="275" spans="2:8" x14ac:dyDescent="0.2">
      <c r="B275" s="135" t="s">
        <v>1142</v>
      </c>
      <c r="C275" s="135" t="s">
        <v>973</v>
      </c>
      <c r="D275" s="135" t="s">
        <v>1158</v>
      </c>
      <c r="E275" s="135" t="s">
        <v>751</v>
      </c>
      <c r="F275" s="135" t="s">
        <v>5</v>
      </c>
      <c r="G275" s="135"/>
      <c r="H275" s="131">
        <v>100</v>
      </c>
    </row>
    <row r="276" spans="2:8" x14ac:dyDescent="0.2">
      <c r="B276" s="135" t="s">
        <v>1142</v>
      </c>
      <c r="C276" s="135" t="s">
        <v>973</v>
      </c>
      <c r="D276" s="135" t="s">
        <v>1143</v>
      </c>
      <c r="E276" s="135" t="s">
        <v>1144</v>
      </c>
      <c r="F276" s="135" t="s">
        <v>5</v>
      </c>
      <c r="G276" s="135"/>
      <c r="H276" s="131">
        <v>225</v>
      </c>
    </row>
    <row r="277" spans="2:8" x14ac:dyDescent="0.2">
      <c r="B277" s="135" t="s">
        <v>1348</v>
      </c>
      <c r="C277" s="135" t="s">
        <v>973</v>
      </c>
      <c r="D277" s="135" t="s">
        <v>1354</v>
      </c>
      <c r="E277" s="135" t="s">
        <v>1355</v>
      </c>
      <c r="F277" s="135" t="s">
        <v>5</v>
      </c>
      <c r="G277" s="135"/>
      <c r="H277" s="131">
        <v>500</v>
      </c>
    </row>
    <row r="278" spans="2:8" x14ac:dyDescent="0.2">
      <c r="B278" s="135" t="s">
        <v>1348</v>
      </c>
      <c r="C278" s="135" t="s">
        <v>973</v>
      </c>
      <c r="D278" s="135" t="s">
        <v>1356</v>
      </c>
      <c r="E278" s="135" t="s">
        <v>1357</v>
      </c>
      <c r="F278" s="135" t="s">
        <v>5</v>
      </c>
      <c r="G278" s="135"/>
      <c r="H278" s="131">
        <v>800</v>
      </c>
    </row>
    <row r="279" spans="2:8" x14ac:dyDescent="0.2">
      <c r="B279" s="135" t="s">
        <v>1348</v>
      </c>
      <c r="C279" s="135" t="s">
        <v>973</v>
      </c>
      <c r="D279" s="135" t="s">
        <v>1349</v>
      </c>
      <c r="E279" s="135" t="s">
        <v>1350</v>
      </c>
      <c r="F279" s="135" t="s">
        <v>5</v>
      </c>
      <c r="G279" s="135"/>
      <c r="H279" s="131">
        <v>250</v>
      </c>
    </row>
    <row r="280" spans="2:8" ht="37" x14ac:dyDescent="0.2">
      <c r="B280" s="135" t="s">
        <v>1348</v>
      </c>
      <c r="C280" s="135" t="s">
        <v>973</v>
      </c>
      <c r="D280" s="135" t="s">
        <v>1351</v>
      </c>
      <c r="E280" s="135" t="s">
        <v>1352</v>
      </c>
      <c r="F280" s="135" t="s">
        <v>5</v>
      </c>
      <c r="G280" s="135" t="s">
        <v>1353</v>
      </c>
      <c r="H280" s="131">
        <v>165</v>
      </c>
    </row>
    <row r="281" spans="2:8" x14ac:dyDescent="0.2">
      <c r="B281" s="135" t="s">
        <v>1462</v>
      </c>
      <c r="C281" s="135" t="s">
        <v>973</v>
      </c>
      <c r="D281" s="135" t="s">
        <v>1514</v>
      </c>
      <c r="E281" s="135" t="s">
        <v>1515</v>
      </c>
      <c r="F281" s="135" t="s">
        <v>5</v>
      </c>
      <c r="G281" s="135"/>
      <c r="H281" s="131">
        <v>100</v>
      </c>
    </row>
    <row r="282" spans="2:8" x14ac:dyDescent="0.2">
      <c r="B282" s="135" t="s">
        <v>1462</v>
      </c>
      <c r="C282" s="135" t="s">
        <v>973</v>
      </c>
      <c r="D282" s="135" t="s">
        <v>1516</v>
      </c>
      <c r="E282" s="135" t="s">
        <v>1517</v>
      </c>
      <c r="F282" s="135" t="s">
        <v>5</v>
      </c>
      <c r="G282" s="135"/>
      <c r="H282" s="131">
        <v>30</v>
      </c>
    </row>
    <row r="283" spans="2:8" x14ac:dyDescent="0.2">
      <c r="B283" s="135" t="s">
        <v>1462</v>
      </c>
      <c r="C283" s="135" t="s">
        <v>973</v>
      </c>
      <c r="D283" s="135" t="s">
        <v>1510</v>
      </c>
      <c r="E283" s="135" t="s">
        <v>1511</v>
      </c>
      <c r="F283" s="135" t="s">
        <v>5</v>
      </c>
      <c r="G283" s="135"/>
      <c r="H283" s="131">
        <v>25</v>
      </c>
    </row>
    <row r="284" spans="2:8" x14ac:dyDescent="0.2">
      <c r="B284" s="135" t="s">
        <v>1462</v>
      </c>
      <c r="C284" s="135" t="s">
        <v>973</v>
      </c>
      <c r="D284" s="135" t="s">
        <v>1518</v>
      </c>
      <c r="E284" s="135" t="s">
        <v>1519</v>
      </c>
      <c r="F284" s="135" t="s">
        <v>5</v>
      </c>
      <c r="G284" s="135"/>
      <c r="H284" s="131">
        <v>25</v>
      </c>
    </row>
    <row r="285" spans="2:8" x14ac:dyDescent="0.2">
      <c r="B285" s="135" t="s">
        <v>1462</v>
      </c>
      <c r="C285" s="135" t="s">
        <v>973</v>
      </c>
      <c r="D285" s="135" t="s">
        <v>1520</v>
      </c>
      <c r="E285" s="135" t="s">
        <v>1521</v>
      </c>
      <c r="F285" s="135" t="s">
        <v>5</v>
      </c>
      <c r="G285" s="135"/>
      <c r="H285" s="131">
        <v>25</v>
      </c>
    </row>
    <row r="286" spans="2:8" x14ac:dyDescent="0.2">
      <c r="B286" s="135" t="s">
        <v>1462</v>
      </c>
      <c r="C286" s="135" t="s">
        <v>973</v>
      </c>
      <c r="D286" s="135" t="s">
        <v>1522</v>
      </c>
      <c r="E286" s="135" t="s">
        <v>1523</v>
      </c>
      <c r="F286" s="135" t="s">
        <v>5</v>
      </c>
      <c r="G286" s="135"/>
      <c r="H286" s="131">
        <v>25</v>
      </c>
    </row>
    <row r="287" spans="2:8" x14ac:dyDescent="0.2">
      <c r="B287" s="135" t="s">
        <v>1462</v>
      </c>
      <c r="C287" s="135" t="s">
        <v>973</v>
      </c>
      <c r="D287" s="135" t="s">
        <v>1512</v>
      </c>
      <c r="E287" s="135" t="s">
        <v>1513</v>
      </c>
      <c r="F287" s="135" t="s">
        <v>5</v>
      </c>
      <c r="G287" s="135"/>
      <c r="H287" s="131">
        <v>100</v>
      </c>
    </row>
    <row r="288" spans="2:8" x14ac:dyDescent="0.2">
      <c r="B288" s="135" t="s">
        <v>1524</v>
      </c>
      <c r="C288" s="135" t="s">
        <v>973</v>
      </c>
      <c r="D288" s="135" t="s">
        <v>1525</v>
      </c>
      <c r="E288" s="135" t="s">
        <v>1526</v>
      </c>
      <c r="F288" s="135" t="s">
        <v>5</v>
      </c>
      <c r="G288" s="135"/>
      <c r="H288" s="131">
        <v>110</v>
      </c>
    </row>
    <row r="289" spans="2:8" x14ac:dyDescent="0.2">
      <c r="B289" s="135" t="s">
        <v>1507</v>
      </c>
      <c r="C289" s="135" t="s">
        <v>973</v>
      </c>
      <c r="D289" s="135" t="s">
        <v>1529</v>
      </c>
      <c r="E289" s="135" t="s">
        <v>1530</v>
      </c>
      <c r="F289" s="135" t="s">
        <v>5</v>
      </c>
      <c r="G289" s="135"/>
      <c r="H289" s="131">
        <v>500</v>
      </c>
    </row>
    <row r="290" spans="2:8" x14ac:dyDescent="0.2">
      <c r="B290" s="135" t="s">
        <v>1507</v>
      </c>
      <c r="C290" s="135" t="s">
        <v>973</v>
      </c>
      <c r="D290" s="135" t="s">
        <v>1527</v>
      </c>
      <c r="E290" s="135" t="s">
        <v>1528</v>
      </c>
      <c r="F290" s="135" t="s">
        <v>5</v>
      </c>
      <c r="G290" s="135"/>
      <c r="H290" s="131">
        <v>10000</v>
      </c>
    </row>
    <row r="291" spans="2:8" x14ac:dyDescent="0.2">
      <c r="B291" s="135" t="s">
        <v>1620</v>
      </c>
      <c r="C291" s="135" t="s">
        <v>101</v>
      </c>
      <c r="D291" s="135">
        <v>1210</v>
      </c>
      <c r="E291" s="135"/>
      <c r="F291" s="135" t="s">
        <v>5</v>
      </c>
      <c r="G291" s="135" t="s">
        <v>1820</v>
      </c>
      <c r="H291" s="131">
        <v>675</v>
      </c>
    </row>
    <row r="292" spans="2:8" x14ac:dyDescent="0.2">
      <c r="B292" s="135" t="s">
        <v>1620</v>
      </c>
      <c r="C292" s="135" t="s">
        <v>101</v>
      </c>
      <c r="D292" s="135">
        <v>8333</v>
      </c>
      <c r="E292" s="135" t="s">
        <v>1631</v>
      </c>
      <c r="F292" s="135" t="s">
        <v>5</v>
      </c>
      <c r="G292" s="135"/>
      <c r="H292" s="131">
        <v>82</v>
      </c>
    </row>
    <row r="293" spans="2:8" x14ac:dyDescent="0.2">
      <c r="B293" s="135" t="s">
        <v>1620</v>
      </c>
      <c r="C293" s="135" t="s">
        <v>101</v>
      </c>
      <c r="D293" s="135">
        <v>985744</v>
      </c>
      <c r="E293" s="135"/>
      <c r="F293" s="135" t="s">
        <v>5</v>
      </c>
      <c r="G293" s="135"/>
      <c r="H293" s="131">
        <v>1500</v>
      </c>
    </row>
    <row r="294" spans="2:8" x14ac:dyDescent="0.2">
      <c r="B294" s="135" t="s">
        <v>1624</v>
      </c>
      <c r="C294" s="135" t="s">
        <v>339</v>
      </c>
      <c r="D294" s="135" t="s">
        <v>1625</v>
      </c>
      <c r="E294" s="135"/>
      <c r="F294" s="135" t="s">
        <v>5</v>
      </c>
      <c r="G294" s="135" t="s">
        <v>1641</v>
      </c>
      <c r="H294" s="131">
        <v>50</v>
      </c>
    </row>
    <row r="295" spans="2:8" x14ac:dyDescent="0.2">
      <c r="B295" s="135" t="s">
        <v>1624</v>
      </c>
      <c r="C295" s="135" t="s">
        <v>339</v>
      </c>
      <c r="D295" s="135" t="s">
        <v>1625</v>
      </c>
      <c r="E295" s="135"/>
      <c r="F295" s="135" t="s">
        <v>5</v>
      </c>
      <c r="G295" s="135" t="s">
        <v>1641</v>
      </c>
      <c r="H295" s="131">
        <v>50</v>
      </c>
    </row>
    <row r="296" spans="2:8" x14ac:dyDescent="0.2">
      <c r="B296" s="135" t="s">
        <v>1796</v>
      </c>
      <c r="C296" s="135" t="s">
        <v>101</v>
      </c>
      <c r="D296" s="135"/>
      <c r="E296" s="135"/>
      <c r="F296" s="135" t="s">
        <v>5</v>
      </c>
      <c r="G296" s="135"/>
      <c r="H296" s="131">
        <v>150</v>
      </c>
    </row>
    <row r="297" spans="2:8" x14ac:dyDescent="0.2">
      <c r="B297" s="135" t="s">
        <v>1821</v>
      </c>
      <c r="C297" s="135" t="s">
        <v>973</v>
      </c>
      <c r="D297" s="135" t="s">
        <v>1822</v>
      </c>
      <c r="E297" s="135" t="s">
        <v>1823</v>
      </c>
      <c r="F297" s="135" t="s">
        <v>5</v>
      </c>
      <c r="G297" s="135"/>
      <c r="H297" s="131">
        <v>90</v>
      </c>
    </row>
    <row r="298" spans="2:8" x14ac:dyDescent="0.2">
      <c r="B298" s="135" t="s">
        <v>2243</v>
      </c>
      <c r="C298" s="135" t="s">
        <v>973</v>
      </c>
      <c r="D298" s="135" t="s">
        <v>2244</v>
      </c>
      <c r="E298" s="135" t="s">
        <v>2245</v>
      </c>
      <c r="F298" s="135" t="s">
        <v>5</v>
      </c>
      <c r="G298" s="135"/>
      <c r="H298" s="131">
        <v>90</v>
      </c>
    </row>
    <row r="299" spans="2:8" x14ac:dyDescent="0.2">
      <c r="B299" s="135" t="s">
        <v>2229</v>
      </c>
      <c r="C299" s="135" t="s">
        <v>339</v>
      </c>
      <c r="D299" s="135" t="s">
        <v>2230</v>
      </c>
      <c r="E299" s="135"/>
      <c r="F299" s="135" t="s">
        <v>5</v>
      </c>
      <c r="G299" s="135"/>
      <c r="H299" s="131">
        <v>250</v>
      </c>
    </row>
    <row r="300" spans="2:8" x14ac:dyDescent="0.2">
      <c r="B300" s="135" t="s">
        <v>2221</v>
      </c>
      <c r="C300" s="135" t="s">
        <v>101</v>
      </c>
      <c r="D300" s="135">
        <v>1061</v>
      </c>
      <c r="E300" s="135"/>
      <c r="F300" s="135" t="s">
        <v>5</v>
      </c>
      <c r="G300" s="135"/>
      <c r="H300" s="131">
        <v>250</v>
      </c>
    </row>
    <row r="301" spans="2:8" x14ac:dyDescent="0.2">
      <c r="B301" s="135" t="s">
        <v>2221</v>
      </c>
      <c r="C301" s="135" t="s">
        <v>101</v>
      </c>
      <c r="D301" s="135">
        <v>3874</v>
      </c>
      <c r="E301" s="135"/>
      <c r="F301" s="135" t="s">
        <v>5</v>
      </c>
      <c r="G301" s="135"/>
      <c r="H301" s="131">
        <v>368</v>
      </c>
    </row>
    <row r="302" spans="2:8" x14ac:dyDescent="0.2">
      <c r="B302" s="135" t="s">
        <v>2221</v>
      </c>
      <c r="C302" s="135" t="s">
        <v>101</v>
      </c>
      <c r="D302" s="135"/>
      <c r="E302" s="135"/>
      <c r="F302" s="135" t="s">
        <v>5</v>
      </c>
      <c r="G302" s="135"/>
      <c r="H302" s="131">
        <v>50</v>
      </c>
    </row>
    <row r="303" spans="2:8" x14ac:dyDescent="0.2">
      <c r="B303" s="135" t="s">
        <v>2352</v>
      </c>
      <c r="C303" s="135" t="s">
        <v>101</v>
      </c>
      <c r="D303" s="135">
        <v>14676</v>
      </c>
      <c r="E303" s="135"/>
      <c r="F303" s="135" t="s">
        <v>5</v>
      </c>
      <c r="G303" s="135"/>
      <c r="H303" s="131">
        <v>100</v>
      </c>
    </row>
    <row r="304" spans="2:8" x14ac:dyDescent="0.2">
      <c r="B304" s="135" t="s">
        <v>2553</v>
      </c>
      <c r="C304" s="135" t="s">
        <v>973</v>
      </c>
      <c r="D304" s="135" t="s">
        <v>2554</v>
      </c>
      <c r="E304" s="135" t="s">
        <v>2555</v>
      </c>
      <c r="F304" s="135" t="s">
        <v>5</v>
      </c>
      <c r="G304" s="135"/>
      <c r="H304" s="131">
        <v>200</v>
      </c>
    </row>
    <row r="305" spans="1:8" x14ac:dyDescent="0.2">
      <c r="B305" s="135" t="s">
        <v>2556</v>
      </c>
      <c r="C305" s="135" t="s">
        <v>339</v>
      </c>
      <c r="D305" s="135" t="s">
        <v>2557</v>
      </c>
      <c r="E305" s="135"/>
      <c r="F305" s="135" t="s">
        <v>5</v>
      </c>
      <c r="G305" s="135" t="s">
        <v>2558</v>
      </c>
      <c r="H305" s="131">
        <v>9100</v>
      </c>
    </row>
    <row r="306" spans="1:8" x14ac:dyDescent="0.2">
      <c r="B306" s="135" t="s">
        <v>2738</v>
      </c>
      <c r="C306" s="135" t="s">
        <v>101</v>
      </c>
      <c r="D306" s="135">
        <v>1431</v>
      </c>
      <c r="E306" s="135" t="s">
        <v>2744</v>
      </c>
      <c r="F306" s="135" t="s">
        <v>5</v>
      </c>
      <c r="G306" s="135"/>
      <c r="H306" s="131">
        <v>200</v>
      </c>
    </row>
    <row r="307" spans="1:8" x14ac:dyDescent="0.2">
      <c r="B307" s="135" t="s">
        <v>2745</v>
      </c>
      <c r="C307" s="135" t="s">
        <v>101</v>
      </c>
      <c r="D307" s="135">
        <v>4536</v>
      </c>
      <c r="E307" s="135"/>
      <c r="F307" s="135" t="s">
        <v>5</v>
      </c>
      <c r="G307" s="135"/>
      <c r="H307" s="131">
        <v>400</v>
      </c>
    </row>
    <row r="308" spans="1:8" x14ac:dyDescent="0.2">
      <c r="B308" s="135" t="s">
        <v>2745</v>
      </c>
      <c r="C308" s="135" t="s">
        <v>101</v>
      </c>
      <c r="D308" s="135">
        <v>944048427</v>
      </c>
      <c r="E308" s="135"/>
      <c r="F308" s="135" t="s">
        <v>5</v>
      </c>
      <c r="G308" s="135"/>
      <c r="H308" s="131">
        <v>100</v>
      </c>
    </row>
    <row r="309" spans="1:8" x14ac:dyDescent="0.2">
      <c r="A309" s="129" t="s">
        <v>1004</v>
      </c>
      <c r="H309" s="132">
        <v>31387.5</v>
      </c>
    </row>
    <row r="310" spans="1:8" x14ac:dyDescent="0.2">
      <c r="A310" s="129" t="s">
        <v>1632</v>
      </c>
    </row>
    <row r="311" spans="1:8" x14ac:dyDescent="0.2">
      <c r="B311" s="135" t="s">
        <v>1620</v>
      </c>
      <c r="C311" s="135" t="s">
        <v>101</v>
      </c>
      <c r="D311" s="135">
        <v>6922</v>
      </c>
      <c r="E311" s="135"/>
      <c r="F311" s="135" t="s">
        <v>5</v>
      </c>
      <c r="G311" s="135"/>
      <c r="H311" s="131">
        <v>5000</v>
      </c>
    </row>
    <row r="312" spans="1:8" x14ac:dyDescent="0.2">
      <c r="B312" s="135" t="s">
        <v>1811</v>
      </c>
      <c r="C312" s="135" t="s">
        <v>101</v>
      </c>
      <c r="D312" s="135">
        <v>11070</v>
      </c>
      <c r="E312" s="135"/>
      <c r="F312" s="135" t="s">
        <v>5</v>
      </c>
      <c r="G312" s="135"/>
      <c r="H312" s="131">
        <v>1000</v>
      </c>
    </row>
    <row r="313" spans="1:8" x14ac:dyDescent="0.2">
      <c r="B313" s="135" t="s">
        <v>2352</v>
      </c>
      <c r="C313" s="135" t="s">
        <v>101</v>
      </c>
      <c r="D313" s="135">
        <v>17572</v>
      </c>
      <c r="E313" s="135"/>
      <c r="F313" s="135" t="s">
        <v>5</v>
      </c>
      <c r="G313" s="135"/>
      <c r="H313" s="131">
        <v>50</v>
      </c>
    </row>
    <row r="314" spans="1:8" x14ac:dyDescent="0.2">
      <c r="A314" s="129" t="s">
        <v>1633</v>
      </c>
      <c r="H314" s="132">
        <v>6050</v>
      </c>
    </row>
    <row r="315" spans="1:8" x14ac:dyDescent="0.2">
      <c r="A315" s="129" t="s">
        <v>1005</v>
      </c>
    </row>
    <row r="316" spans="1:8" x14ac:dyDescent="0.2">
      <c r="B316" s="135" t="s">
        <v>972</v>
      </c>
      <c r="C316" s="135" t="s">
        <v>973</v>
      </c>
      <c r="D316" s="135" t="s">
        <v>1006</v>
      </c>
      <c r="E316" s="135" t="s">
        <v>1007</v>
      </c>
      <c r="F316" s="135" t="s">
        <v>5</v>
      </c>
      <c r="G316" s="135"/>
      <c r="H316" s="131">
        <v>2500</v>
      </c>
    </row>
    <row r="317" spans="1:8" x14ac:dyDescent="0.2">
      <c r="B317" s="135" t="s">
        <v>1142</v>
      </c>
      <c r="C317" s="135" t="s">
        <v>973</v>
      </c>
      <c r="D317" s="135" t="s">
        <v>1159</v>
      </c>
      <c r="E317" s="135" t="s">
        <v>1160</v>
      </c>
      <c r="F317" s="135" t="s">
        <v>5</v>
      </c>
      <c r="G317" s="135"/>
      <c r="H317" s="131">
        <v>2500</v>
      </c>
    </row>
    <row r="318" spans="1:8" x14ac:dyDescent="0.2">
      <c r="B318" s="135" t="s">
        <v>1348</v>
      </c>
      <c r="C318" s="135" t="s">
        <v>973</v>
      </c>
      <c r="D318" s="135" t="s">
        <v>1358</v>
      </c>
      <c r="E318" s="135" t="s">
        <v>1007</v>
      </c>
      <c r="F318" s="135" t="s">
        <v>5</v>
      </c>
      <c r="G318" s="135"/>
      <c r="H318" s="131">
        <v>2500</v>
      </c>
    </row>
    <row r="319" spans="1:8" x14ac:dyDescent="0.2">
      <c r="B319" s="135" t="s">
        <v>1507</v>
      </c>
      <c r="C319" s="135" t="s">
        <v>973</v>
      </c>
      <c r="D319" s="135" t="s">
        <v>1531</v>
      </c>
      <c r="E319" s="135" t="s">
        <v>1160</v>
      </c>
      <c r="F319" s="135" t="s">
        <v>5</v>
      </c>
      <c r="G319" s="135"/>
      <c r="H319" s="131">
        <v>2500</v>
      </c>
    </row>
    <row r="320" spans="1:8" x14ac:dyDescent="0.2">
      <c r="B320" s="135" t="s">
        <v>1620</v>
      </c>
      <c r="C320" s="135" t="s">
        <v>101</v>
      </c>
      <c r="D320" s="135">
        <v>64012056</v>
      </c>
      <c r="E320" s="135"/>
      <c r="F320" s="135" t="s">
        <v>5</v>
      </c>
      <c r="G320" s="135"/>
      <c r="H320" s="131">
        <v>2500</v>
      </c>
    </row>
    <row r="321" spans="1:8" x14ac:dyDescent="0.2">
      <c r="B321" s="135" t="s">
        <v>1811</v>
      </c>
      <c r="C321" s="135" t="s">
        <v>101</v>
      </c>
      <c r="D321" s="135">
        <v>64301820</v>
      </c>
      <c r="E321" s="135"/>
      <c r="F321" s="135" t="s">
        <v>5</v>
      </c>
      <c r="G321" s="135"/>
      <c r="H321" s="131">
        <v>2500</v>
      </c>
    </row>
    <row r="322" spans="1:8" x14ac:dyDescent="0.2">
      <c r="B322" s="135" t="s">
        <v>2745</v>
      </c>
      <c r="C322" s="135" t="s">
        <v>101</v>
      </c>
      <c r="D322" s="135">
        <v>65453551</v>
      </c>
      <c r="E322" s="135"/>
      <c r="F322" s="135" t="s">
        <v>5</v>
      </c>
      <c r="G322" s="135"/>
      <c r="H322" s="131">
        <v>2500</v>
      </c>
    </row>
    <row r="323" spans="1:8" x14ac:dyDescent="0.2">
      <c r="A323" s="129" t="s">
        <v>1008</v>
      </c>
      <c r="H323" s="132">
        <v>17500</v>
      </c>
    </row>
    <row r="324" spans="1:8" x14ac:dyDescent="0.2">
      <c r="A324" s="129" t="s">
        <v>1009</v>
      </c>
    </row>
    <row r="325" spans="1:8" x14ac:dyDescent="0.2">
      <c r="B325" s="135" t="s">
        <v>954</v>
      </c>
      <c r="C325" s="135" t="s">
        <v>101</v>
      </c>
      <c r="D325" s="135">
        <v>1634</v>
      </c>
      <c r="E325" s="135"/>
      <c r="F325" s="135" t="s">
        <v>5</v>
      </c>
      <c r="G325" s="135" t="s">
        <v>1010</v>
      </c>
      <c r="H325" s="131">
        <v>350</v>
      </c>
    </row>
    <row r="326" spans="1:8" x14ac:dyDescent="0.2">
      <c r="B326" s="135" t="s">
        <v>954</v>
      </c>
      <c r="C326" s="135" t="s">
        <v>101</v>
      </c>
      <c r="D326" s="135">
        <v>5962</v>
      </c>
      <c r="E326" s="135"/>
      <c r="F326" s="135" t="s">
        <v>5</v>
      </c>
      <c r="G326" s="135" t="s">
        <v>1010</v>
      </c>
      <c r="H326" s="131">
        <v>1693</v>
      </c>
    </row>
    <row r="327" spans="1:8" x14ac:dyDescent="0.2">
      <c r="B327" s="135" t="s">
        <v>1824</v>
      </c>
      <c r="C327" s="135" t="s">
        <v>101</v>
      </c>
      <c r="D327" s="135">
        <v>4413</v>
      </c>
      <c r="E327" s="135"/>
      <c r="F327" s="135" t="s">
        <v>5</v>
      </c>
      <c r="G327" s="135"/>
      <c r="H327" s="131">
        <v>300</v>
      </c>
    </row>
    <row r="328" spans="1:8" x14ac:dyDescent="0.2">
      <c r="B328" s="135" t="s">
        <v>1824</v>
      </c>
      <c r="C328" s="135" t="s">
        <v>101</v>
      </c>
      <c r="D328" s="135">
        <v>10883</v>
      </c>
      <c r="E328" s="135"/>
      <c r="F328" s="135" t="s">
        <v>5</v>
      </c>
      <c r="G328" s="135"/>
      <c r="H328" s="131">
        <v>400</v>
      </c>
    </row>
    <row r="329" spans="1:8" x14ac:dyDescent="0.2">
      <c r="B329" s="135" t="s">
        <v>1796</v>
      </c>
      <c r="C329" s="135" t="s">
        <v>101</v>
      </c>
      <c r="D329" s="135">
        <v>10883</v>
      </c>
      <c r="E329" s="135"/>
      <c r="F329" s="135" t="s">
        <v>5</v>
      </c>
      <c r="G329" s="135" t="s">
        <v>1825</v>
      </c>
      <c r="H329" s="131">
        <v>400</v>
      </c>
    </row>
    <row r="330" spans="1:8" x14ac:dyDescent="0.2">
      <c r="B330" s="135" t="s">
        <v>1796</v>
      </c>
      <c r="C330" s="135" t="s">
        <v>101</v>
      </c>
      <c r="D330" s="135">
        <v>4413</v>
      </c>
      <c r="E330" s="135"/>
      <c r="F330" s="135" t="s">
        <v>5</v>
      </c>
      <c r="G330" s="135"/>
      <c r="H330" s="131">
        <v>300</v>
      </c>
    </row>
    <row r="331" spans="1:8" x14ac:dyDescent="0.2">
      <c r="B331" s="135" t="s">
        <v>2745</v>
      </c>
      <c r="C331" s="135" t="s">
        <v>101</v>
      </c>
      <c r="D331" s="135">
        <v>9326</v>
      </c>
      <c r="E331" s="135"/>
      <c r="F331" s="135" t="s">
        <v>5</v>
      </c>
      <c r="G331" s="135"/>
      <c r="H331" s="131">
        <v>500</v>
      </c>
    </row>
    <row r="332" spans="1:8" x14ac:dyDescent="0.2">
      <c r="A332" s="129" t="s">
        <v>1011</v>
      </c>
      <c r="H332" s="132">
        <v>3943</v>
      </c>
    </row>
    <row r="333" spans="1:8" x14ac:dyDescent="0.2">
      <c r="A333" s="129" t="s">
        <v>462</v>
      </c>
    </row>
    <row r="334" spans="1:8" x14ac:dyDescent="0.2">
      <c r="B334" s="135" t="s">
        <v>821</v>
      </c>
      <c r="C334" s="135" t="s">
        <v>339</v>
      </c>
      <c r="D334" s="135" t="s">
        <v>822</v>
      </c>
      <c r="E334" s="135"/>
      <c r="F334" s="135" t="s">
        <v>5</v>
      </c>
      <c r="G334" s="135"/>
      <c r="H334" s="131">
        <v>7500</v>
      </c>
    </row>
    <row r="335" spans="1:8" x14ac:dyDescent="0.2">
      <c r="B335" s="135" t="s">
        <v>1012</v>
      </c>
      <c r="C335" s="135" t="s">
        <v>339</v>
      </c>
      <c r="D335" s="135" t="s">
        <v>1013</v>
      </c>
      <c r="E335" s="135"/>
      <c r="F335" s="135" t="s">
        <v>5</v>
      </c>
      <c r="G335" s="135"/>
      <c r="H335" s="131">
        <v>7500</v>
      </c>
    </row>
    <row r="336" spans="1:8" x14ac:dyDescent="0.2">
      <c r="B336" s="135" t="s">
        <v>1161</v>
      </c>
      <c r="C336" s="135" t="s">
        <v>339</v>
      </c>
      <c r="D336" s="135" t="s">
        <v>1162</v>
      </c>
      <c r="E336" s="135"/>
      <c r="F336" s="135" t="s">
        <v>5</v>
      </c>
      <c r="G336" s="135"/>
      <c r="H336" s="131">
        <v>7500</v>
      </c>
    </row>
    <row r="337" spans="1:8" x14ac:dyDescent="0.2">
      <c r="B337" s="135" t="s">
        <v>1280</v>
      </c>
      <c r="C337" s="135" t="s">
        <v>339</v>
      </c>
      <c r="D337" s="135" t="s">
        <v>1359</v>
      </c>
      <c r="E337" s="135"/>
      <c r="F337" s="135" t="s">
        <v>5</v>
      </c>
      <c r="G337" s="135"/>
      <c r="H337" s="131">
        <v>7500</v>
      </c>
    </row>
    <row r="338" spans="1:8" x14ac:dyDescent="0.2">
      <c r="B338" s="135" t="s">
        <v>1447</v>
      </c>
      <c r="C338" s="135" t="s">
        <v>339</v>
      </c>
      <c r="D338" s="135" t="s">
        <v>1532</v>
      </c>
      <c r="E338" s="135"/>
      <c r="F338" s="135" t="s">
        <v>5</v>
      </c>
      <c r="G338" s="135"/>
      <c r="H338" s="131">
        <v>7500</v>
      </c>
    </row>
    <row r="339" spans="1:8" x14ac:dyDescent="0.2">
      <c r="B339" s="135" t="s">
        <v>1634</v>
      </c>
      <c r="C339" s="135" t="s">
        <v>339</v>
      </c>
      <c r="D339" s="135" t="s">
        <v>1635</v>
      </c>
      <c r="E339" s="135"/>
      <c r="F339" s="135" t="s">
        <v>5</v>
      </c>
      <c r="G339" s="135" t="s">
        <v>2559</v>
      </c>
      <c r="H339" s="131">
        <v>7500</v>
      </c>
    </row>
    <row r="340" spans="1:8" x14ac:dyDescent="0.2">
      <c r="B340" s="135" t="s">
        <v>1824</v>
      </c>
      <c r="C340" s="135" t="s">
        <v>339</v>
      </c>
      <c r="D340" s="135" t="s">
        <v>1826</v>
      </c>
      <c r="E340" s="135"/>
      <c r="F340" s="135" t="s">
        <v>5</v>
      </c>
      <c r="G340" s="135"/>
      <c r="H340" s="131">
        <v>7500</v>
      </c>
    </row>
    <row r="341" spans="1:8" x14ac:dyDescent="0.2">
      <c r="B341" s="135" t="s">
        <v>2093</v>
      </c>
      <c r="C341" s="135" t="s">
        <v>339</v>
      </c>
      <c r="D341" s="135" t="s">
        <v>2094</v>
      </c>
      <c r="E341" s="135"/>
      <c r="F341" s="135" t="s">
        <v>5</v>
      </c>
      <c r="G341" s="135"/>
      <c r="H341" s="131">
        <v>7500</v>
      </c>
    </row>
    <row r="342" spans="1:8" x14ac:dyDescent="0.2">
      <c r="B342" s="135" t="s">
        <v>2246</v>
      </c>
      <c r="C342" s="135" t="s">
        <v>339</v>
      </c>
      <c r="D342" s="135" t="s">
        <v>2247</v>
      </c>
      <c r="E342" s="135"/>
      <c r="F342" s="135" t="s">
        <v>5</v>
      </c>
      <c r="G342" s="135"/>
      <c r="H342" s="131">
        <v>7500</v>
      </c>
    </row>
    <row r="343" spans="1:8" x14ac:dyDescent="0.2">
      <c r="B343" s="135" t="s">
        <v>2221</v>
      </c>
      <c r="C343" s="135" t="s">
        <v>973</v>
      </c>
      <c r="D343" s="135" t="s">
        <v>2248</v>
      </c>
      <c r="E343" s="135" t="s">
        <v>1007</v>
      </c>
      <c r="F343" s="135" t="s">
        <v>5</v>
      </c>
      <c r="G343" s="135" t="s">
        <v>2056</v>
      </c>
      <c r="H343" s="131">
        <v>2500</v>
      </c>
    </row>
    <row r="344" spans="1:8" x14ac:dyDescent="0.2">
      <c r="B344" s="135" t="s">
        <v>2221</v>
      </c>
      <c r="C344" s="135" t="s">
        <v>973</v>
      </c>
      <c r="D344" s="135" t="s">
        <v>2249</v>
      </c>
      <c r="E344" s="135" t="s">
        <v>1007</v>
      </c>
      <c r="F344" s="135" t="s">
        <v>5</v>
      </c>
      <c r="G344" s="135" t="s">
        <v>2250</v>
      </c>
      <c r="H344" s="131">
        <v>2500</v>
      </c>
    </row>
    <row r="345" spans="1:8" x14ac:dyDescent="0.2">
      <c r="B345" s="135" t="s">
        <v>2355</v>
      </c>
      <c r="C345" s="135" t="s">
        <v>339</v>
      </c>
      <c r="D345" s="135" t="s">
        <v>2356</v>
      </c>
      <c r="E345" s="135"/>
      <c r="F345" s="135" t="s">
        <v>5</v>
      </c>
      <c r="G345" s="135"/>
      <c r="H345" s="131">
        <v>7500</v>
      </c>
    </row>
    <row r="346" spans="1:8" x14ac:dyDescent="0.2">
      <c r="B346" s="135" t="s">
        <v>2352</v>
      </c>
      <c r="C346" s="135" t="s">
        <v>101</v>
      </c>
      <c r="D346" s="135">
        <v>65164230</v>
      </c>
      <c r="E346" s="135"/>
      <c r="F346" s="135" t="s">
        <v>5</v>
      </c>
      <c r="G346" s="135"/>
      <c r="H346" s="131">
        <v>2500</v>
      </c>
    </row>
    <row r="347" spans="1:8" x14ac:dyDescent="0.2">
      <c r="B347" s="135" t="s">
        <v>2560</v>
      </c>
      <c r="C347" s="135" t="s">
        <v>339</v>
      </c>
      <c r="D347" s="135" t="s">
        <v>2561</v>
      </c>
      <c r="E347" s="135"/>
      <c r="F347" s="135" t="s">
        <v>5</v>
      </c>
      <c r="G347" s="135"/>
      <c r="H347" s="131">
        <v>7500</v>
      </c>
    </row>
    <row r="348" spans="1:8" x14ac:dyDescent="0.2">
      <c r="A348" s="129" t="s">
        <v>556</v>
      </c>
      <c r="H348" s="132">
        <v>90000</v>
      </c>
    </row>
    <row r="349" spans="1:8" x14ac:dyDescent="0.2">
      <c r="A349" s="129" t="s">
        <v>695</v>
      </c>
      <c r="H349" s="132">
        <v>148880.5</v>
      </c>
    </row>
    <row r="350" spans="1:8" x14ac:dyDescent="0.2">
      <c r="A350" s="129" t="s">
        <v>823</v>
      </c>
      <c r="H350" s="132">
        <v>148880.5</v>
      </c>
    </row>
    <row r="351" spans="1:8" x14ac:dyDescent="0.2">
      <c r="A351" s="129" t="s">
        <v>2486</v>
      </c>
    </row>
    <row r="352" spans="1:8" x14ac:dyDescent="0.2">
      <c r="A352" s="129" t="s">
        <v>1163</v>
      </c>
    </row>
    <row r="353" spans="2:8" x14ac:dyDescent="0.2">
      <c r="B353" s="135" t="s">
        <v>821</v>
      </c>
      <c r="C353" s="135" t="s">
        <v>339</v>
      </c>
      <c r="D353" s="135" t="s">
        <v>1533</v>
      </c>
      <c r="E353" s="135"/>
      <c r="F353" s="135" t="s">
        <v>5</v>
      </c>
      <c r="G353" s="135" t="s">
        <v>1534</v>
      </c>
      <c r="H353" s="131">
        <v>-206.01</v>
      </c>
    </row>
    <row r="354" spans="2:8" x14ac:dyDescent="0.2">
      <c r="B354" s="135" t="s">
        <v>824</v>
      </c>
      <c r="C354" s="135" t="s">
        <v>339</v>
      </c>
      <c r="D354" s="135" t="s">
        <v>1535</v>
      </c>
      <c r="E354" s="135"/>
      <c r="F354" s="135" t="s">
        <v>5</v>
      </c>
      <c r="G354" s="135" t="s">
        <v>1536</v>
      </c>
      <c r="H354" s="131">
        <v>1.85</v>
      </c>
    </row>
    <row r="355" spans="2:8" x14ac:dyDescent="0.2">
      <c r="B355" s="135" t="s">
        <v>972</v>
      </c>
      <c r="C355" s="135" t="s">
        <v>339</v>
      </c>
      <c r="D355" s="135" t="s">
        <v>1537</v>
      </c>
      <c r="E355" s="135"/>
      <c r="F355" s="135" t="s">
        <v>5</v>
      </c>
      <c r="G355" s="135" t="s">
        <v>1538</v>
      </c>
      <c r="H355" s="131">
        <v>1.73</v>
      </c>
    </row>
    <row r="356" spans="2:8" x14ac:dyDescent="0.2">
      <c r="B356" s="135" t="s">
        <v>1142</v>
      </c>
      <c r="C356" s="135" t="s">
        <v>973</v>
      </c>
      <c r="D356" s="135" t="s">
        <v>1164</v>
      </c>
      <c r="E356" s="135" t="s">
        <v>1165</v>
      </c>
      <c r="F356" s="135" t="s">
        <v>5</v>
      </c>
      <c r="G356" s="135" t="s">
        <v>1166</v>
      </c>
      <c r="H356" s="131">
        <v>10000</v>
      </c>
    </row>
    <row r="357" spans="2:8" x14ac:dyDescent="0.2">
      <c r="B357" s="135" t="s">
        <v>1168</v>
      </c>
      <c r="C357" s="135" t="s">
        <v>339</v>
      </c>
      <c r="D357" s="135" t="s">
        <v>1539</v>
      </c>
      <c r="E357" s="135"/>
      <c r="F357" s="135" t="s">
        <v>5</v>
      </c>
      <c r="G357" s="135" t="s">
        <v>1540</v>
      </c>
      <c r="H357" s="131">
        <v>1.85</v>
      </c>
    </row>
    <row r="358" spans="2:8" x14ac:dyDescent="0.2">
      <c r="B358" s="135" t="s">
        <v>1369</v>
      </c>
      <c r="C358" s="135" t="s">
        <v>101</v>
      </c>
      <c r="D358" s="135"/>
      <c r="E358" s="135" t="s">
        <v>1421</v>
      </c>
      <c r="F358" s="135" t="s">
        <v>5</v>
      </c>
      <c r="G358" s="135"/>
      <c r="H358" s="131">
        <v>1.79</v>
      </c>
    </row>
    <row r="359" spans="2:8" x14ac:dyDescent="0.2">
      <c r="B359" s="135" t="s">
        <v>1548</v>
      </c>
      <c r="C359" s="135" t="s">
        <v>101</v>
      </c>
      <c r="D359" s="135"/>
      <c r="E359" s="135" t="s">
        <v>156</v>
      </c>
      <c r="F359" s="135" t="s">
        <v>5</v>
      </c>
      <c r="G359" s="135"/>
      <c r="H359" s="131">
        <v>1.85</v>
      </c>
    </row>
    <row r="360" spans="2:8" x14ac:dyDescent="0.2">
      <c r="B360" s="135" t="s">
        <v>1634</v>
      </c>
      <c r="C360" s="135" t="s">
        <v>101</v>
      </c>
      <c r="D360" s="135"/>
      <c r="E360" s="135"/>
      <c r="F360" s="135" t="s">
        <v>5</v>
      </c>
      <c r="G360" s="135" t="s">
        <v>1827</v>
      </c>
      <c r="H360" s="131">
        <v>16.66</v>
      </c>
    </row>
    <row r="361" spans="2:8" x14ac:dyDescent="0.2">
      <c r="B361" s="135" t="s">
        <v>1624</v>
      </c>
      <c r="C361" s="135" t="s">
        <v>339</v>
      </c>
      <c r="D361" s="135" t="s">
        <v>1625</v>
      </c>
      <c r="E361" s="135"/>
      <c r="F361" s="135" t="s">
        <v>5</v>
      </c>
      <c r="G361" s="135" t="s">
        <v>1828</v>
      </c>
      <c r="H361" s="131">
        <v>260.27999999999997</v>
      </c>
    </row>
    <row r="362" spans="2:8" x14ac:dyDescent="0.2">
      <c r="B362" s="135" t="s">
        <v>1624</v>
      </c>
      <c r="C362" s="135" t="s">
        <v>339</v>
      </c>
      <c r="D362" s="135" t="s">
        <v>1625</v>
      </c>
      <c r="E362" s="135"/>
      <c r="F362" s="135" t="s">
        <v>5</v>
      </c>
      <c r="G362" s="135" t="s">
        <v>1829</v>
      </c>
      <c r="H362" s="131">
        <v>249.12</v>
      </c>
    </row>
    <row r="363" spans="2:8" x14ac:dyDescent="0.2">
      <c r="B363" s="135" t="s">
        <v>1837</v>
      </c>
      <c r="C363" s="135" t="s">
        <v>101</v>
      </c>
      <c r="D363" s="135"/>
      <c r="E363" s="135"/>
      <c r="F363" s="135" t="s">
        <v>5</v>
      </c>
      <c r="G363" s="135" t="s">
        <v>2095</v>
      </c>
      <c r="H363" s="131">
        <v>21.96</v>
      </c>
    </row>
    <row r="364" spans="2:8" x14ac:dyDescent="0.2">
      <c r="B364" s="135" t="s">
        <v>1830</v>
      </c>
      <c r="C364" s="135" t="s">
        <v>101</v>
      </c>
      <c r="D364" s="135"/>
      <c r="E364" s="135" t="s">
        <v>156</v>
      </c>
      <c r="F364" s="135" t="s">
        <v>5</v>
      </c>
      <c r="G364" s="135"/>
      <c r="H364" s="131">
        <v>1.64</v>
      </c>
    </row>
    <row r="365" spans="2:8" x14ac:dyDescent="0.2">
      <c r="B365" s="135" t="s">
        <v>2081</v>
      </c>
      <c r="C365" s="135" t="s">
        <v>101</v>
      </c>
      <c r="D365" s="135"/>
      <c r="E365" s="135" t="s">
        <v>156</v>
      </c>
      <c r="F365" s="135" t="s">
        <v>5</v>
      </c>
      <c r="G365" s="135"/>
      <c r="H365" s="131">
        <v>1.34</v>
      </c>
    </row>
    <row r="366" spans="2:8" x14ac:dyDescent="0.2">
      <c r="B366" s="135" t="s">
        <v>2240</v>
      </c>
      <c r="C366" s="135" t="s">
        <v>101</v>
      </c>
      <c r="D366" s="135"/>
      <c r="E366" s="135" t="s">
        <v>1421</v>
      </c>
      <c r="F366" s="135" t="s">
        <v>5</v>
      </c>
      <c r="G366" s="135"/>
      <c r="H366" s="131">
        <v>1.01</v>
      </c>
    </row>
    <row r="367" spans="2:8" x14ac:dyDescent="0.2">
      <c r="B367" s="135" t="s">
        <v>2544</v>
      </c>
      <c r="C367" s="135" t="s">
        <v>101</v>
      </c>
      <c r="D367" s="135">
        <v>80937</v>
      </c>
      <c r="E367" s="135" t="s">
        <v>2562</v>
      </c>
      <c r="F367" s="135" t="s">
        <v>5</v>
      </c>
      <c r="G367" s="135" t="s">
        <v>1825</v>
      </c>
      <c r="H367" s="131">
        <v>420</v>
      </c>
    </row>
    <row r="368" spans="2:8" x14ac:dyDescent="0.2">
      <c r="B368" s="135" t="s">
        <v>2546</v>
      </c>
      <c r="C368" s="135" t="s">
        <v>101</v>
      </c>
      <c r="D368" s="135"/>
      <c r="E368" s="135" t="s">
        <v>2563</v>
      </c>
      <c r="F368" s="135" t="s">
        <v>5</v>
      </c>
      <c r="G368" s="135"/>
      <c r="H368" s="131">
        <v>100</v>
      </c>
    </row>
    <row r="369" spans="1:8" x14ac:dyDescent="0.2">
      <c r="B369" s="135" t="s">
        <v>2564</v>
      </c>
      <c r="C369" s="135" t="s">
        <v>101</v>
      </c>
      <c r="D369" s="135"/>
      <c r="E369" s="135" t="s">
        <v>2565</v>
      </c>
      <c r="F369" s="135" t="s">
        <v>5</v>
      </c>
      <c r="G369" s="135"/>
      <c r="H369" s="131">
        <v>100</v>
      </c>
    </row>
    <row r="370" spans="1:8" x14ac:dyDescent="0.2">
      <c r="B370" s="135" t="s">
        <v>2738</v>
      </c>
      <c r="C370" s="135" t="s">
        <v>101</v>
      </c>
      <c r="D370" s="135">
        <v>80957</v>
      </c>
      <c r="E370" s="135"/>
      <c r="F370" s="135" t="s">
        <v>5</v>
      </c>
      <c r="G370" s="135"/>
      <c r="H370" s="131">
        <v>14.13</v>
      </c>
    </row>
    <row r="371" spans="1:8" x14ac:dyDescent="0.2">
      <c r="A371" s="129" t="s">
        <v>1167</v>
      </c>
      <c r="H371" s="132">
        <v>10989.2</v>
      </c>
    </row>
    <row r="372" spans="1:8" x14ac:dyDescent="0.2">
      <c r="A372" s="129" t="s">
        <v>1831</v>
      </c>
    </row>
    <row r="373" spans="1:8" x14ac:dyDescent="0.2">
      <c r="B373" s="135" t="s">
        <v>1624</v>
      </c>
      <c r="C373" s="135" t="s">
        <v>339</v>
      </c>
      <c r="D373" s="135" t="s">
        <v>1625</v>
      </c>
      <c r="E373" s="135"/>
      <c r="F373" s="135" t="s">
        <v>5</v>
      </c>
      <c r="G373" s="135" t="s">
        <v>1832</v>
      </c>
      <c r="H373" s="131">
        <v>170</v>
      </c>
    </row>
    <row r="374" spans="1:8" x14ac:dyDescent="0.2">
      <c r="B374" s="135" t="s">
        <v>1624</v>
      </c>
      <c r="C374" s="135" t="s">
        <v>339</v>
      </c>
      <c r="D374" s="135" t="s">
        <v>1625</v>
      </c>
      <c r="E374" s="135"/>
      <c r="F374" s="135" t="s">
        <v>5</v>
      </c>
      <c r="G374" s="135" t="s">
        <v>1833</v>
      </c>
      <c r="H374" s="131">
        <v>10</v>
      </c>
    </row>
    <row r="375" spans="1:8" x14ac:dyDescent="0.2">
      <c r="B375" s="135" t="s">
        <v>1791</v>
      </c>
      <c r="C375" s="135" t="s">
        <v>101</v>
      </c>
      <c r="D375" s="135"/>
      <c r="E375" s="135" t="s">
        <v>1834</v>
      </c>
      <c r="F375" s="135" t="s">
        <v>5</v>
      </c>
      <c r="G375" s="135"/>
      <c r="H375" s="131">
        <v>23.97</v>
      </c>
    </row>
    <row r="376" spans="1:8" x14ac:dyDescent="0.2">
      <c r="B376" s="135" t="s">
        <v>1796</v>
      </c>
      <c r="C376" s="135" t="s">
        <v>101</v>
      </c>
      <c r="D376" s="135"/>
      <c r="E376" s="135"/>
      <c r="F376" s="135" t="s">
        <v>5</v>
      </c>
      <c r="G376" s="135"/>
      <c r="H376" s="131">
        <v>87</v>
      </c>
    </row>
    <row r="377" spans="1:8" x14ac:dyDescent="0.2">
      <c r="B377" s="135" t="s">
        <v>1796</v>
      </c>
      <c r="C377" s="135" t="s">
        <v>101</v>
      </c>
      <c r="D377" s="135"/>
      <c r="E377" s="135" t="s">
        <v>1834</v>
      </c>
      <c r="F377" s="135" t="s">
        <v>5</v>
      </c>
      <c r="G377" s="135"/>
      <c r="H377" s="131">
        <v>102.65</v>
      </c>
    </row>
    <row r="378" spans="1:8" x14ac:dyDescent="0.2">
      <c r="B378" s="135" t="s">
        <v>1796</v>
      </c>
      <c r="C378" s="135" t="s">
        <v>101</v>
      </c>
      <c r="D378" s="135"/>
      <c r="E378" s="135"/>
      <c r="F378" s="135" t="s">
        <v>5</v>
      </c>
      <c r="G378" s="135"/>
      <c r="H378" s="131">
        <v>30</v>
      </c>
    </row>
    <row r="379" spans="1:8" x14ac:dyDescent="0.2">
      <c r="B379" s="135" t="s">
        <v>1796</v>
      </c>
      <c r="C379" s="135" t="s">
        <v>101</v>
      </c>
      <c r="D379" s="135"/>
      <c r="E379" s="135"/>
      <c r="F379" s="135" t="s">
        <v>5</v>
      </c>
      <c r="G379" s="135"/>
      <c r="H379" s="131">
        <v>47.94</v>
      </c>
    </row>
    <row r="380" spans="1:8" x14ac:dyDescent="0.2">
      <c r="B380" s="135" t="s">
        <v>1808</v>
      </c>
      <c r="C380" s="135" t="s">
        <v>101</v>
      </c>
      <c r="D380" s="135"/>
      <c r="E380" s="135" t="s">
        <v>1834</v>
      </c>
      <c r="F380" s="135" t="s">
        <v>5</v>
      </c>
      <c r="G380" s="135"/>
      <c r="H380" s="131">
        <v>186.14</v>
      </c>
    </row>
    <row r="381" spans="1:8" x14ac:dyDescent="0.2">
      <c r="B381" s="135" t="s">
        <v>1835</v>
      </c>
      <c r="C381" s="135" t="s">
        <v>101</v>
      </c>
      <c r="D381" s="135"/>
      <c r="E381" s="135" t="s">
        <v>1834</v>
      </c>
      <c r="F381" s="135" t="s">
        <v>5</v>
      </c>
      <c r="G381" s="135"/>
      <c r="H381" s="131">
        <v>71.760000000000005</v>
      </c>
    </row>
    <row r="382" spans="1:8" x14ac:dyDescent="0.2">
      <c r="B382" s="135" t="s">
        <v>1811</v>
      </c>
      <c r="C382" s="135" t="s">
        <v>101</v>
      </c>
      <c r="D382" s="135"/>
      <c r="E382" s="135"/>
      <c r="F382" s="135" t="s">
        <v>5</v>
      </c>
      <c r="G382" s="135"/>
      <c r="H382" s="131">
        <v>111</v>
      </c>
    </row>
    <row r="383" spans="1:8" x14ac:dyDescent="0.2">
      <c r="B383" s="135" t="s">
        <v>1811</v>
      </c>
      <c r="C383" s="135" t="s">
        <v>101</v>
      </c>
      <c r="D383" s="135"/>
      <c r="E383" s="135"/>
      <c r="F383" s="135" t="s">
        <v>5</v>
      </c>
      <c r="G383" s="135"/>
      <c r="H383" s="131">
        <v>170</v>
      </c>
    </row>
    <row r="384" spans="1:8" x14ac:dyDescent="0.2">
      <c r="B384" s="135" t="s">
        <v>1811</v>
      </c>
      <c r="C384" s="135" t="s">
        <v>101</v>
      </c>
      <c r="D384" s="135"/>
      <c r="E384" s="135"/>
      <c r="F384" s="135" t="s">
        <v>5</v>
      </c>
      <c r="G384" s="135"/>
      <c r="H384" s="131">
        <v>0.5</v>
      </c>
    </row>
    <row r="385" spans="1:8" x14ac:dyDescent="0.2">
      <c r="B385" s="135" t="s">
        <v>1811</v>
      </c>
      <c r="C385" s="135" t="s">
        <v>101</v>
      </c>
      <c r="D385" s="135"/>
      <c r="E385" s="135"/>
      <c r="F385" s="135" t="s">
        <v>5</v>
      </c>
      <c r="G385" s="135"/>
      <c r="H385" s="131">
        <v>55</v>
      </c>
    </row>
    <row r="386" spans="1:8" x14ac:dyDescent="0.2">
      <c r="B386" s="135" t="s">
        <v>2096</v>
      </c>
      <c r="C386" s="135" t="s">
        <v>101</v>
      </c>
      <c r="D386" s="135"/>
      <c r="E386" s="135"/>
      <c r="F386" s="135" t="s">
        <v>5</v>
      </c>
      <c r="G386" s="135"/>
      <c r="H386" s="131">
        <v>64.84</v>
      </c>
    </row>
    <row r="387" spans="1:8" x14ac:dyDescent="0.2">
      <c r="B387" s="135" t="s">
        <v>2081</v>
      </c>
      <c r="C387" s="135" t="s">
        <v>339</v>
      </c>
      <c r="D387" s="135" t="s">
        <v>2082</v>
      </c>
      <c r="E387" s="135"/>
      <c r="F387" s="135" t="s">
        <v>5</v>
      </c>
      <c r="G387" s="135" t="s">
        <v>2223</v>
      </c>
      <c r="H387" s="131">
        <v>378</v>
      </c>
    </row>
    <row r="388" spans="1:8" x14ac:dyDescent="0.2">
      <c r="B388" s="135" t="s">
        <v>2357</v>
      </c>
      <c r="C388" s="135" t="s">
        <v>339</v>
      </c>
      <c r="D388" s="135" t="s">
        <v>2358</v>
      </c>
      <c r="E388" s="135"/>
      <c r="F388" s="135" t="s">
        <v>5</v>
      </c>
      <c r="G388" s="135"/>
      <c r="H388" s="131">
        <v>-184.54</v>
      </c>
    </row>
    <row r="389" spans="1:8" x14ac:dyDescent="0.2">
      <c r="A389" s="129" t="s">
        <v>1836</v>
      </c>
      <c r="H389" s="132">
        <v>1324.26</v>
      </c>
    </row>
    <row r="390" spans="1:8" x14ac:dyDescent="0.2">
      <c r="A390" s="129" t="s">
        <v>2487</v>
      </c>
    </row>
    <row r="391" spans="1:8" x14ac:dyDescent="0.2">
      <c r="B391" s="135" t="s">
        <v>1624</v>
      </c>
      <c r="C391" s="135" t="s">
        <v>339</v>
      </c>
      <c r="D391" s="135" t="s">
        <v>1697</v>
      </c>
      <c r="E391" s="135"/>
      <c r="F391" s="135" t="s">
        <v>5</v>
      </c>
      <c r="G391" s="135" t="s">
        <v>1221</v>
      </c>
      <c r="H391" s="131">
        <v>536.73</v>
      </c>
    </row>
    <row r="392" spans="1:8" x14ac:dyDescent="0.2">
      <c r="B392" s="135" t="s">
        <v>1624</v>
      </c>
      <c r="C392" s="135" t="s">
        <v>101</v>
      </c>
      <c r="D392" s="135"/>
      <c r="E392" s="135" t="s">
        <v>1421</v>
      </c>
      <c r="F392" s="135" t="s">
        <v>5</v>
      </c>
      <c r="G392" s="135"/>
      <c r="H392" s="131">
        <v>1.78</v>
      </c>
    </row>
    <row r="393" spans="1:8" x14ac:dyDescent="0.2">
      <c r="B393" s="135" t="s">
        <v>1624</v>
      </c>
      <c r="C393" s="135" t="s">
        <v>339</v>
      </c>
      <c r="D393" s="135" t="s">
        <v>1698</v>
      </c>
      <c r="E393" s="135"/>
      <c r="F393" s="135" t="s">
        <v>5</v>
      </c>
      <c r="G393" s="135" t="s">
        <v>1221</v>
      </c>
      <c r="H393" s="131">
        <v>313.60000000000002</v>
      </c>
    </row>
    <row r="394" spans="1:8" x14ac:dyDescent="0.2">
      <c r="B394" s="135" t="s">
        <v>2240</v>
      </c>
      <c r="C394" s="135" t="s">
        <v>339</v>
      </c>
      <c r="D394" s="135" t="s">
        <v>2294</v>
      </c>
      <c r="E394" s="135"/>
      <c r="F394" s="135" t="s">
        <v>5</v>
      </c>
      <c r="G394" s="135" t="s">
        <v>2293</v>
      </c>
      <c r="H394" s="131">
        <v>2873.72</v>
      </c>
    </row>
    <row r="395" spans="1:8" x14ac:dyDescent="0.2">
      <c r="B395" s="135" t="s">
        <v>2240</v>
      </c>
      <c r="C395" s="135" t="s">
        <v>339</v>
      </c>
      <c r="D395" s="135" t="s">
        <v>2292</v>
      </c>
      <c r="E395" s="135"/>
      <c r="F395" s="135" t="s">
        <v>5</v>
      </c>
      <c r="G395" s="135" t="s">
        <v>2293</v>
      </c>
      <c r="H395" s="131">
        <v>399.12</v>
      </c>
    </row>
    <row r="396" spans="1:8" x14ac:dyDescent="0.2">
      <c r="B396" s="135" t="s">
        <v>2746</v>
      </c>
      <c r="C396" s="135" t="s">
        <v>101</v>
      </c>
      <c r="D396" s="135"/>
      <c r="E396" s="135" t="s">
        <v>1421</v>
      </c>
      <c r="F396" s="135" t="s">
        <v>5</v>
      </c>
      <c r="G396" s="135" t="s">
        <v>2747</v>
      </c>
      <c r="H396" s="131">
        <v>0.91</v>
      </c>
    </row>
    <row r="397" spans="1:8" x14ac:dyDescent="0.2">
      <c r="B397" s="135" t="s">
        <v>2746</v>
      </c>
      <c r="C397" s="135" t="s">
        <v>101</v>
      </c>
      <c r="D397" s="135"/>
      <c r="E397" s="135" t="s">
        <v>1421</v>
      </c>
      <c r="F397" s="135" t="s">
        <v>5</v>
      </c>
      <c r="G397" s="135" t="s">
        <v>2370</v>
      </c>
      <c r="H397" s="131">
        <v>0.93</v>
      </c>
    </row>
    <row r="398" spans="1:8" x14ac:dyDescent="0.2">
      <c r="B398" s="135" t="s">
        <v>2746</v>
      </c>
      <c r="C398" s="135" t="s">
        <v>101</v>
      </c>
      <c r="D398" s="135"/>
      <c r="E398" s="135" t="s">
        <v>1421</v>
      </c>
      <c r="F398" s="135" t="s">
        <v>5</v>
      </c>
      <c r="G398" s="135" t="s">
        <v>2741</v>
      </c>
      <c r="H398" s="131">
        <v>0.93</v>
      </c>
    </row>
    <row r="399" spans="1:8" x14ac:dyDescent="0.2">
      <c r="A399" s="129" t="s">
        <v>2488</v>
      </c>
      <c r="H399" s="132">
        <v>4127.72</v>
      </c>
    </row>
    <row r="400" spans="1:8" x14ac:dyDescent="0.2">
      <c r="A400" s="129" t="s">
        <v>2489</v>
      </c>
      <c r="H400" s="132">
        <v>16441.18</v>
      </c>
    </row>
    <row r="401" spans="1:8" x14ac:dyDescent="0.2">
      <c r="A401" s="129" t="s">
        <v>807</v>
      </c>
    </row>
    <row r="402" spans="1:8" x14ac:dyDescent="0.2">
      <c r="B402" s="135" t="s">
        <v>894</v>
      </c>
      <c r="C402" s="135" t="s">
        <v>339</v>
      </c>
      <c r="D402" s="135" t="s">
        <v>969</v>
      </c>
      <c r="E402" s="135"/>
      <c r="F402" s="135" t="s">
        <v>5</v>
      </c>
      <c r="G402" s="135" t="s">
        <v>1014</v>
      </c>
      <c r="H402" s="131">
        <v>-1425</v>
      </c>
    </row>
    <row r="403" spans="1:8" x14ac:dyDescent="0.2">
      <c r="B403" s="135" t="s">
        <v>824</v>
      </c>
      <c r="C403" s="135" t="s">
        <v>339</v>
      </c>
      <c r="D403" s="135" t="s">
        <v>825</v>
      </c>
      <c r="E403" s="135"/>
      <c r="F403" s="135" t="s">
        <v>5</v>
      </c>
      <c r="G403" s="135"/>
      <c r="H403" s="131">
        <v>1425</v>
      </c>
    </row>
    <row r="404" spans="1:8" x14ac:dyDescent="0.2">
      <c r="B404" s="135" t="s">
        <v>1161</v>
      </c>
      <c r="C404" s="135" t="s">
        <v>339</v>
      </c>
      <c r="D404" s="135" t="s">
        <v>1269</v>
      </c>
      <c r="E404" s="135"/>
      <c r="F404" s="135" t="s">
        <v>5</v>
      </c>
      <c r="G404" s="135"/>
      <c r="H404" s="131">
        <v>-675</v>
      </c>
    </row>
    <row r="405" spans="1:8" x14ac:dyDescent="0.2">
      <c r="B405" s="135" t="s">
        <v>1197</v>
      </c>
      <c r="C405" s="135" t="s">
        <v>339</v>
      </c>
      <c r="D405" s="135" t="s">
        <v>1346</v>
      </c>
      <c r="E405" s="135"/>
      <c r="F405" s="135" t="s">
        <v>5</v>
      </c>
      <c r="G405" s="135"/>
      <c r="H405" s="131">
        <v>-20</v>
      </c>
    </row>
    <row r="406" spans="1:8" x14ac:dyDescent="0.2">
      <c r="B406" s="135" t="s">
        <v>1244</v>
      </c>
      <c r="C406" s="135" t="s">
        <v>339</v>
      </c>
      <c r="D406" s="135" t="s">
        <v>1271</v>
      </c>
      <c r="E406" s="135"/>
      <c r="F406" s="135" t="s">
        <v>5</v>
      </c>
      <c r="G406" s="135"/>
      <c r="H406" s="131">
        <v>-199.3</v>
      </c>
    </row>
    <row r="407" spans="1:8" x14ac:dyDescent="0.2">
      <c r="B407" s="135" t="s">
        <v>1244</v>
      </c>
      <c r="C407" s="135" t="s">
        <v>339</v>
      </c>
      <c r="D407" s="135" t="s">
        <v>1270</v>
      </c>
      <c r="E407" s="135"/>
      <c r="F407" s="135" t="s">
        <v>5</v>
      </c>
      <c r="G407" s="135"/>
      <c r="H407" s="131">
        <v>-50</v>
      </c>
    </row>
    <row r="408" spans="1:8" x14ac:dyDescent="0.2">
      <c r="B408" s="135" t="s">
        <v>1173</v>
      </c>
      <c r="C408" s="135" t="s">
        <v>339</v>
      </c>
      <c r="D408" s="135" t="s">
        <v>1347</v>
      </c>
      <c r="E408" s="135"/>
      <c r="F408" s="135" t="s">
        <v>5</v>
      </c>
      <c r="G408" s="135"/>
      <c r="H408" s="131">
        <v>-25</v>
      </c>
    </row>
    <row r="409" spans="1:8" x14ac:dyDescent="0.2">
      <c r="B409" s="135" t="s">
        <v>1173</v>
      </c>
      <c r="C409" s="135" t="s">
        <v>339</v>
      </c>
      <c r="D409" s="135" t="s">
        <v>1272</v>
      </c>
      <c r="E409" s="135"/>
      <c r="F409" s="135" t="s">
        <v>5</v>
      </c>
      <c r="G409" s="135"/>
      <c r="H409" s="131">
        <v>-1550</v>
      </c>
    </row>
    <row r="410" spans="1:8" x14ac:dyDescent="0.2">
      <c r="B410" s="135" t="s">
        <v>1273</v>
      </c>
      <c r="C410" s="135" t="s">
        <v>339</v>
      </c>
      <c r="D410" s="135" t="s">
        <v>1276</v>
      </c>
      <c r="E410" s="135"/>
      <c r="F410" s="135" t="s">
        <v>5</v>
      </c>
      <c r="G410" s="135"/>
      <c r="H410" s="131">
        <v>-1975</v>
      </c>
    </row>
    <row r="411" spans="1:8" x14ac:dyDescent="0.2">
      <c r="B411" s="135" t="s">
        <v>1273</v>
      </c>
      <c r="C411" s="135" t="s">
        <v>339</v>
      </c>
      <c r="D411" s="135" t="s">
        <v>1274</v>
      </c>
      <c r="E411" s="135"/>
      <c r="F411" s="135" t="s">
        <v>5</v>
      </c>
      <c r="G411" s="135"/>
      <c r="H411" s="131">
        <v>-175</v>
      </c>
    </row>
    <row r="412" spans="1:8" x14ac:dyDescent="0.2">
      <c r="B412" s="135" t="s">
        <v>1179</v>
      </c>
      <c r="C412" s="135" t="s">
        <v>339</v>
      </c>
      <c r="D412" s="135" t="s">
        <v>1279</v>
      </c>
      <c r="E412" s="135"/>
      <c r="F412" s="135" t="s">
        <v>5</v>
      </c>
      <c r="G412" s="135" t="s">
        <v>1151</v>
      </c>
      <c r="H412" s="131">
        <v>-18.59</v>
      </c>
    </row>
    <row r="413" spans="1:8" x14ac:dyDescent="0.2">
      <c r="B413" s="135" t="s">
        <v>1179</v>
      </c>
      <c r="C413" s="135" t="s">
        <v>339</v>
      </c>
      <c r="D413" s="135" t="s">
        <v>1335</v>
      </c>
      <c r="E413" s="135"/>
      <c r="F413" s="135" t="s">
        <v>5</v>
      </c>
      <c r="G413" s="135"/>
      <c r="H413" s="131">
        <v>-600</v>
      </c>
    </row>
    <row r="414" spans="1:8" x14ac:dyDescent="0.2">
      <c r="B414" s="135" t="s">
        <v>1179</v>
      </c>
      <c r="C414" s="135" t="s">
        <v>339</v>
      </c>
      <c r="D414" s="135" t="s">
        <v>1277</v>
      </c>
      <c r="E414" s="135"/>
      <c r="F414" s="135" t="s">
        <v>5</v>
      </c>
      <c r="G414" s="135"/>
      <c r="H414" s="131">
        <v>-675</v>
      </c>
    </row>
    <row r="415" spans="1:8" x14ac:dyDescent="0.2">
      <c r="B415" s="135" t="s">
        <v>1179</v>
      </c>
      <c r="C415" s="135" t="s">
        <v>339</v>
      </c>
      <c r="D415" s="135" t="s">
        <v>1278</v>
      </c>
      <c r="E415" s="135"/>
      <c r="F415" s="135" t="s">
        <v>5</v>
      </c>
      <c r="G415" s="135" t="s">
        <v>1151</v>
      </c>
      <c r="H415" s="131">
        <v>0</v>
      </c>
    </row>
    <row r="416" spans="1:8" x14ac:dyDescent="0.2">
      <c r="B416" s="135" t="s">
        <v>1168</v>
      </c>
      <c r="C416" s="135" t="s">
        <v>339</v>
      </c>
      <c r="D416" s="135" t="s">
        <v>1169</v>
      </c>
      <c r="E416" s="135"/>
      <c r="F416" s="135" t="s">
        <v>5</v>
      </c>
      <c r="G416" s="135" t="s">
        <v>1170</v>
      </c>
      <c r="H416" s="131">
        <v>1550</v>
      </c>
    </row>
    <row r="417" spans="2:8" x14ac:dyDescent="0.2">
      <c r="B417" s="135" t="s">
        <v>1168</v>
      </c>
      <c r="C417" s="135" t="s">
        <v>339</v>
      </c>
      <c r="D417" s="135" t="s">
        <v>1169</v>
      </c>
      <c r="E417" s="135"/>
      <c r="F417" s="135" t="s">
        <v>5</v>
      </c>
      <c r="G417" s="135" t="s">
        <v>1170</v>
      </c>
      <c r="H417" s="131">
        <v>1975</v>
      </c>
    </row>
    <row r="418" spans="2:8" x14ac:dyDescent="0.2">
      <c r="B418" s="135" t="s">
        <v>1168</v>
      </c>
      <c r="C418" s="135" t="s">
        <v>339</v>
      </c>
      <c r="D418" s="135" t="s">
        <v>1169</v>
      </c>
      <c r="E418" s="135"/>
      <c r="F418" s="135" t="s">
        <v>5</v>
      </c>
      <c r="G418" s="135" t="s">
        <v>1170</v>
      </c>
      <c r="H418" s="131">
        <v>675</v>
      </c>
    </row>
    <row r="419" spans="2:8" x14ac:dyDescent="0.2">
      <c r="B419" s="135" t="s">
        <v>1168</v>
      </c>
      <c r="C419" s="135" t="s">
        <v>339</v>
      </c>
      <c r="D419" s="135" t="s">
        <v>1169</v>
      </c>
      <c r="E419" s="135"/>
      <c r="F419" s="135" t="s">
        <v>5</v>
      </c>
      <c r="G419" s="135" t="s">
        <v>1170</v>
      </c>
      <c r="H419" s="131">
        <v>675</v>
      </c>
    </row>
    <row r="420" spans="2:8" x14ac:dyDescent="0.2">
      <c r="B420" s="135" t="s">
        <v>1168</v>
      </c>
      <c r="C420" s="135" t="s">
        <v>339</v>
      </c>
      <c r="D420" s="135" t="s">
        <v>1169</v>
      </c>
      <c r="E420" s="135"/>
      <c r="F420" s="135" t="s">
        <v>5</v>
      </c>
      <c r="G420" s="135" t="s">
        <v>1170</v>
      </c>
      <c r="H420" s="131">
        <v>600</v>
      </c>
    </row>
    <row r="421" spans="2:8" x14ac:dyDescent="0.2">
      <c r="B421" s="135" t="s">
        <v>1168</v>
      </c>
      <c r="C421" s="135" t="s">
        <v>339</v>
      </c>
      <c r="D421" s="135" t="s">
        <v>1169</v>
      </c>
      <c r="E421" s="135"/>
      <c r="F421" s="135" t="s">
        <v>5</v>
      </c>
      <c r="G421" s="135" t="s">
        <v>1172</v>
      </c>
      <c r="H421" s="131">
        <v>199.3</v>
      </c>
    </row>
    <row r="422" spans="2:8" x14ac:dyDescent="0.2">
      <c r="B422" s="135" t="s">
        <v>1168</v>
      </c>
      <c r="C422" s="135" t="s">
        <v>339</v>
      </c>
      <c r="D422" s="135" t="s">
        <v>1169</v>
      </c>
      <c r="E422" s="135"/>
      <c r="F422" s="135" t="s">
        <v>5</v>
      </c>
      <c r="G422" s="135" t="s">
        <v>1170</v>
      </c>
      <c r="H422" s="131">
        <v>175</v>
      </c>
    </row>
    <row r="423" spans="2:8" x14ac:dyDescent="0.2">
      <c r="B423" s="135" t="s">
        <v>1168</v>
      </c>
      <c r="C423" s="135" t="s">
        <v>339</v>
      </c>
      <c r="D423" s="135" t="s">
        <v>1169</v>
      </c>
      <c r="E423" s="135"/>
      <c r="F423" s="135" t="s">
        <v>5</v>
      </c>
      <c r="G423" s="135" t="s">
        <v>1170</v>
      </c>
      <c r="H423" s="131">
        <v>50</v>
      </c>
    </row>
    <row r="424" spans="2:8" x14ac:dyDescent="0.2">
      <c r="B424" s="135" t="s">
        <v>1168</v>
      </c>
      <c r="C424" s="135" t="s">
        <v>339</v>
      </c>
      <c r="D424" s="135" t="s">
        <v>1169</v>
      </c>
      <c r="E424" s="135"/>
      <c r="F424" s="135" t="s">
        <v>5</v>
      </c>
      <c r="G424" s="135" t="s">
        <v>1170</v>
      </c>
      <c r="H424" s="131">
        <v>38.590000000000003</v>
      </c>
    </row>
    <row r="425" spans="2:8" x14ac:dyDescent="0.2">
      <c r="B425" s="135" t="s">
        <v>1168</v>
      </c>
      <c r="C425" s="135" t="s">
        <v>339</v>
      </c>
      <c r="D425" s="135" t="s">
        <v>1169</v>
      </c>
      <c r="E425" s="135"/>
      <c r="F425" s="135" t="s">
        <v>5</v>
      </c>
      <c r="G425" s="135" t="s">
        <v>1170</v>
      </c>
      <c r="H425" s="131">
        <v>25</v>
      </c>
    </row>
    <row r="426" spans="2:8" x14ac:dyDescent="0.2">
      <c r="B426" s="135" t="s">
        <v>1168</v>
      </c>
      <c r="C426" s="135" t="s">
        <v>339</v>
      </c>
      <c r="D426" s="135" t="s">
        <v>1169</v>
      </c>
      <c r="E426" s="135"/>
      <c r="F426" s="135" t="s">
        <v>5</v>
      </c>
      <c r="G426" s="135" t="s">
        <v>1170</v>
      </c>
      <c r="H426" s="131">
        <v>20</v>
      </c>
    </row>
    <row r="427" spans="2:8" x14ac:dyDescent="0.2">
      <c r="B427" s="135" t="s">
        <v>1168</v>
      </c>
      <c r="C427" s="135" t="s">
        <v>339</v>
      </c>
      <c r="D427" s="135" t="s">
        <v>1169</v>
      </c>
      <c r="E427" s="135"/>
      <c r="F427" s="135" t="s">
        <v>5</v>
      </c>
      <c r="G427" s="135" t="s">
        <v>1171</v>
      </c>
      <c r="H427" s="131">
        <v>-20</v>
      </c>
    </row>
    <row r="428" spans="2:8" x14ac:dyDescent="0.2">
      <c r="B428" s="135" t="s">
        <v>1624</v>
      </c>
      <c r="C428" s="135" t="s">
        <v>339</v>
      </c>
      <c r="D428" s="135" t="s">
        <v>1813</v>
      </c>
      <c r="E428" s="135"/>
      <c r="F428" s="135" t="s">
        <v>5</v>
      </c>
      <c r="G428" s="135"/>
      <c r="H428" s="131">
        <v>-339.3</v>
      </c>
    </row>
    <row r="429" spans="2:8" x14ac:dyDescent="0.2">
      <c r="B429" s="135" t="s">
        <v>1624</v>
      </c>
      <c r="C429" s="135" t="s">
        <v>339</v>
      </c>
      <c r="D429" s="135" t="s">
        <v>1625</v>
      </c>
      <c r="E429" s="135"/>
      <c r="F429" s="135" t="s">
        <v>5</v>
      </c>
      <c r="G429" s="135" t="s">
        <v>1637</v>
      </c>
      <c r="H429" s="131">
        <v>0</v>
      </c>
    </row>
    <row r="430" spans="2:8" x14ac:dyDescent="0.2">
      <c r="B430" s="135" t="s">
        <v>1624</v>
      </c>
      <c r="C430" s="135" t="s">
        <v>339</v>
      </c>
      <c r="D430" s="135" t="s">
        <v>1813</v>
      </c>
      <c r="E430" s="135"/>
      <c r="F430" s="135" t="s">
        <v>5</v>
      </c>
      <c r="G430" s="135" t="s">
        <v>1816</v>
      </c>
      <c r="H430" s="131">
        <v>-108</v>
      </c>
    </row>
    <row r="431" spans="2:8" x14ac:dyDescent="0.2">
      <c r="B431" s="135" t="s">
        <v>1624</v>
      </c>
      <c r="C431" s="135" t="s">
        <v>339</v>
      </c>
      <c r="D431" s="135" t="s">
        <v>1625</v>
      </c>
      <c r="E431" s="135"/>
      <c r="F431" s="135" t="s">
        <v>5</v>
      </c>
      <c r="G431" s="135" t="s">
        <v>1640</v>
      </c>
      <c r="H431" s="131">
        <v>108</v>
      </c>
    </row>
    <row r="432" spans="2:8" x14ac:dyDescent="0.2">
      <c r="B432" s="135" t="s">
        <v>1624</v>
      </c>
      <c r="C432" s="135" t="s">
        <v>339</v>
      </c>
      <c r="D432" s="135" t="s">
        <v>1625</v>
      </c>
      <c r="E432" s="135"/>
      <c r="F432" s="135" t="s">
        <v>5</v>
      </c>
      <c r="G432" s="135" t="s">
        <v>1638</v>
      </c>
      <c r="H432" s="131">
        <v>339.3</v>
      </c>
    </row>
    <row r="433" spans="1:8" x14ac:dyDescent="0.2">
      <c r="B433" s="135" t="s">
        <v>1624</v>
      </c>
      <c r="C433" s="135" t="s">
        <v>339</v>
      </c>
      <c r="D433" s="135" t="s">
        <v>1625</v>
      </c>
      <c r="E433" s="135"/>
      <c r="F433" s="135" t="s">
        <v>5</v>
      </c>
      <c r="G433" s="135" t="s">
        <v>1636</v>
      </c>
      <c r="H433" s="131">
        <v>554.4</v>
      </c>
    </row>
    <row r="434" spans="1:8" x14ac:dyDescent="0.2">
      <c r="B434" s="135" t="s">
        <v>1624</v>
      </c>
      <c r="C434" s="135" t="s">
        <v>339</v>
      </c>
      <c r="D434" s="135" t="s">
        <v>1813</v>
      </c>
      <c r="E434" s="135"/>
      <c r="F434" s="135" t="s">
        <v>5</v>
      </c>
      <c r="G434" s="135"/>
      <c r="H434" s="131">
        <v>-554.4</v>
      </c>
    </row>
    <row r="435" spans="1:8" x14ac:dyDescent="0.2">
      <c r="B435" s="135" t="s">
        <v>2359</v>
      </c>
      <c r="C435" s="135" t="s">
        <v>101</v>
      </c>
      <c r="D435" s="135"/>
      <c r="E435" s="135" t="s">
        <v>1151</v>
      </c>
      <c r="F435" s="135" t="s">
        <v>5</v>
      </c>
      <c r="G435" s="135" t="s">
        <v>1151</v>
      </c>
      <c r="H435" s="131">
        <v>650</v>
      </c>
    </row>
    <row r="436" spans="1:8" x14ac:dyDescent="0.2">
      <c r="B436" s="135" t="s">
        <v>2741</v>
      </c>
      <c r="C436" s="135" t="s">
        <v>339</v>
      </c>
      <c r="D436" s="135" t="s">
        <v>2748</v>
      </c>
      <c r="E436" s="135"/>
      <c r="F436" s="135" t="s">
        <v>5</v>
      </c>
      <c r="G436" s="135" t="s">
        <v>2749</v>
      </c>
      <c r="H436" s="131">
        <v>99.65</v>
      </c>
    </row>
    <row r="437" spans="1:8" x14ac:dyDescent="0.2">
      <c r="B437" s="135" t="s">
        <v>2741</v>
      </c>
      <c r="C437" s="135" t="s">
        <v>339</v>
      </c>
      <c r="D437" s="135" t="s">
        <v>2748</v>
      </c>
      <c r="E437" s="135"/>
      <c r="F437" s="135" t="s">
        <v>5</v>
      </c>
      <c r="G437" s="135" t="s">
        <v>2750</v>
      </c>
      <c r="H437" s="131">
        <v>50</v>
      </c>
    </row>
    <row r="438" spans="1:8" x14ac:dyDescent="0.2">
      <c r="B438" s="135" t="s">
        <v>2741</v>
      </c>
      <c r="C438" s="135" t="s">
        <v>339</v>
      </c>
      <c r="D438" s="135" t="s">
        <v>2748</v>
      </c>
      <c r="E438" s="135"/>
      <c r="F438" s="135" t="s">
        <v>5</v>
      </c>
      <c r="G438" s="135" t="s">
        <v>2751</v>
      </c>
      <c r="H438" s="131">
        <v>150</v>
      </c>
    </row>
    <row r="439" spans="1:8" x14ac:dyDescent="0.2">
      <c r="B439" s="135" t="s">
        <v>2741</v>
      </c>
      <c r="C439" s="135" t="s">
        <v>339</v>
      </c>
      <c r="D439" s="135" t="s">
        <v>2748</v>
      </c>
      <c r="E439" s="135"/>
      <c r="F439" s="135" t="s">
        <v>5</v>
      </c>
      <c r="G439" s="135" t="s">
        <v>1151</v>
      </c>
      <c r="H439" s="131">
        <v>1800</v>
      </c>
    </row>
    <row r="440" spans="1:8" x14ac:dyDescent="0.2">
      <c r="B440" s="135" t="s">
        <v>2741</v>
      </c>
      <c r="C440" s="135" t="s">
        <v>339</v>
      </c>
      <c r="D440" s="135" t="s">
        <v>2748</v>
      </c>
      <c r="E440" s="135"/>
      <c r="F440" s="135" t="s">
        <v>5</v>
      </c>
      <c r="G440" s="135" t="s">
        <v>2752</v>
      </c>
      <c r="H440" s="131">
        <v>675</v>
      </c>
    </row>
    <row r="441" spans="1:8" x14ac:dyDescent="0.2">
      <c r="A441" s="129" t="s">
        <v>808</v>
      </c>
      <c r="H441" s="132">
        <v>3424.65</v>
      </c>
    </row>
    <row r="442" spans="1:8" x14ac:dyDescent="0.2">
      <c r="A442" s="129" t="s">
        <v>557</v>
      </c>
      <c r="H442" s="132">
        <v>308685.59999999998</v>
      </c>
    </row>
    <row r="443" spans="1:8" x14ac:dyDescent="0.2">
      <c r="A443" s="129" t="s">
        <v>352</v>
      </c>
      <c r="H443" s="132">
        <v>308685.59999999998</v>
      </c>
    </row>
    <row r="444" spans="1:8" x14ac:dyDescent="0.2">
      <c r="A444" s="129" t="s">
        <v>353</v>
      </c>
    </row>
    <row r="445" spans="1:8" x14ac:dyDescent="0.2">
      <c r="A445" s="129" t="s">
        <v>354</v>
      </c>
    </row>
    <row r="446" spans="1:8" x14ac:dyDescent="0.2">
      <c r="A446" s="129" t="s">
        <v>1839</v>
      </c>
    </row>
    <row r="447" spans="1:8" x14ac:dyDescent="0.2">
      <c r="A447" s="129" t="s">
        <v>1840</v>
      </c>
    </row>
    <row r="448" spans="1:8" x14ac:dyDescent="0.2">
      <c r="B448" s="135" t="s">
        <v>1643</v>
      </c>
      <c r="C448" s="135" t="s">
        <v>339</v>
      </c>
      <c r="D448" s="135" t="s">
        <v>1644</v>
      </c>
      <c r="E448" s="135"/>
      <c r="F448" s="135" t="s">
        <v>5</v>
      </c>
      <c r="G448" s="135" t="s">
        <v>1645</v>
      </c>
      <c r="H448" s="131">
        <v>0</v>
      </c>
    </row>
    <row r="449" spans="1:8" x14ac:dyDescent="0.2">
      <c r="A449" s="129" t="s">
        <v>1841</v>
      </c>
      <c r="H449" s="132">
        <v>0</v>
      </c>
    </row>
    <row r="450" spans="1:8" x14ac:dyDescent="0.2">
      <c r="A450" s="129" t="s">
        <v>1842</v>
      </c>
    </row>
    <row r="451" spans="1:8" x14ac:dyDescent="0.2">
      <c r="B451" s="135" t="s">
        <v>1643</v>
      </c>
      <c r="C451" s="135" t="s">
        <v>339</v>
      </c>
      <c r="D451" s="135" t="s">
        <v>1644</v>
      </c>
      <c r="E451" s="135"/>
      <c r="F451" s="135" t="s">
        <v>5</v>
      </c>
      <c r="G451" s="135" t="s">
        <v>1645</v>
      </c>
      <c r="H451" s="131">
        <v>0</v>
      </c>
    </row>
    <row r="452" spans="1:8" x14ac:dyDescent="0.2">
      <c r="A452" s="129" t="s">
        <v>1843</v>
      </c>
      <c r="H452" s="132">
        <v>0</v>
      </c>
    </row>
    <row r="453" spans="1:8" x14ac:dyDescent="0.2">
      <c r="A453" s="129" t="s">
        <v>1844</v>
      </c>
    </row>
    <row r="454" spans="1:8" x14ac:dyDescent="0.2">
      <c r="B454" s="135" t="s">
        <v>1643</v>
      </c>
      <c r="C454" s="135" t="s">
        <v>339</v>
      </c>
      <c r="D454" s="135" t="s">
        <v>1644</v>
      </c>
      <c r="E454" s="135"/>
      <c r="F454" s="135" t="s">
        <v>5</v>
      </c>
      <c r="G454" s="135" t="s">
        <v>1645</v>
      </c>
      <c r="H454" s="131">
        <v>0</v>
      </c>
    </row>
    <row r="455" spans="1:8" ht="25" x14ac:dyDescent="0.2">
      <c r="A455" s="129" t="s">
        <v>1845</v>
      </c>
      <c r="H455" s="132">
        <v>0</v>
      </c>
    </row>
    <row r="456" spans="1:8" x14ac:dyDescent="0.2">
      <c r="A456" s="129" t="s">
        <v>1846</v>
      </c>
    </row>
    <row r="457" spans="1:8" x14ac:dyDescent="0.2">
      <c r="B457" s="135" t="s">
        <v>1643</v>
      </c>
      <c r="C457" s="135" t="s">
        <v>339</v>
      </c>
      <c r="D457" s="135" t="s">
        <v>1644</v>
      </c>
      <c r="E457" s="135"/>
      <c r="F457" s="135" t="s">
        <v>5</v>
      </c>
      <c r="G457" s="135" t="s">
        <v>1645</v>
      </c>
      <c r="H457" s="131">
        <v>0</v>
      </c>
    </row>
    <row r="458" spans="1:8" x14ac:dyDescent="0.2">
      <c r="B458" s="135" t="s">
        <v>1830</v>
      </c>
      <c r="C458" s="135" t="s">
        <v>339</v>
      </c>
      <c r="D458" s="135" t="s">
        <v>1847</v>
      </c>
      <c r="E458" s="135"/>
      <c r="F458" s="135" t="s">
        <v>5</v>
      </c>
      <c r="G458" s="135"/>
      <c r="H458" s="131">
        <v>2400</v>
      </c>
    </row>
    <row r="459" spans="1:8" x14ac:dyDescent="0.2">
      <c r="B459" s="135" t="s">
        <v>2097</v>
      </c>
      <c r="C459" s="135" t="s">
        <v>339</v>
      </c>
      <c r="D459" s="135" t="s">
        <v>2099</v>
      </c>
      <c r="E459" s="135"/>
      <c r="F459" s="135" t="s">
        <v>5</v>
      </c>
      <c r="G459" s="135" t="s">
        <v>2100</v>
      </c>
      <c r="H459" s="131">
        <v>2400</v>
      </c>
    </row>
    <row r="460" spans="1:8" x14ac:dyDescent="0.2">
      <c r="B460" s="135" t="s">
        <v>2097</v>
      </c>
      <c r="C460" s="135" t="s">
        <v>339</v>
      </c>
      <c r="D460" s="135" t="s">
        <v>2098</v>
      </c>
      <c r="E460" s="135"/>
      <c r="F460" s="135" t="s">
        <v>5</v>
      </c>
      <c r="G460" s="135"/>
      <c r="H460" s="131">
        <v>-2400</v>
      </c>
    </row>
    <row r="461" spans="1:8" x14ac:dyDescent="0.2">
      <c r="B461" s="135" t="s">
        <v>2101</v>
      </c>
      <c r="C461" s="135" t="s">
        <v>339</v>
      </c>
      <c r="D461" s="135" t="s">
        <v>2102</v>
      </c>
      <c r="E461" s="135"/>
      <c r="F461" s="135" t="s">
        <v>5</v>
      </c>
      <c r="G461" s="135" t="s">
        <v>2103</v>
      </c>
      <c r="H461" s="131">
        <v>200</v>
      </c>
    </row>
    <row r="462" spans="1:8" x14ac:dyDescent="0.2">
      <c r="A462" s="129" t="s">
        <v>1848</v>
      </c>
      <c r="H462" s="132">
        <v>2600</v>
      </c>
    </row>
    <row r="463" spans="1:8" x14ac:dyDescent="0.2">
      <c r="A463" s="129" t="s">
        <v>1849</v>
      </c>
    </row>
    <row r="464" spans="1:8" x14ac:dyDescent="0.2">
      <c r="B464" s="135" t="s">
        <v>1643</v>
      </c>
      <c r="C464" s="135" t="s">
        <v>339</v>
      </c>
      <c r="D464" s="135" t="s">
        <v>1644</v>
      </c>
      <c r="E464" s="135"/>
      <c r="F464" s="135" t="s">
        <v>5</v>
      </c>
      <c r="G464" s="135" t="s">
        <v>1645</v>
      </c>
      <c r="H464" s="131">
        <v>0</v>
      </c>
    </row>
    <row r="465" spans="1:8" x14ac:dyDescent="0.2">
      <c r="A465" s="129" t="s">
        <v>1850</v>
      </c>
      <c r="H465" s="132">
        <v>0</v>
      </c>
    </row>
    <row r="466" spans="1:8" x14ac:dyDescent="0.2">
      <c r="A466" s="129" t="s">
        <v>1851</v>
      </c>
    </row>
    <row r="467" spans="1:8" x14ac:dyDescent="0.2">
      <c r="B467" s="135" t="s">
        <v>1643</v>
      </c>
      <c r="C467" s="135" t="s">
        <v>339</v>
      </c>
      <c r="D467" s="135" t="s">
        <v>1644</v>
      </c>
      <c r="E467" s="135"/>
      <c r="F467" s="135" t="s">
        <v>5</v>
      </c>
      <c r="G467" s="135" t="s">
        <v>1645</v>
      </c>
      <c r="H467" s="131">
        <v>0</v>
      </c>
    </row>
    <row r="468" spans="1:8" x14ac:dyDescent="0.2">
      <c r="B468" s="135" t="s">
        <v>1624</v>
      </c>
      <c r="C468" s="135" t="s">
        <v>339</v>
      </c>
      <c r="D468" s="135" t="s">
        <v>1651</v>
      </c>
      <c r="E468" s="135"/>
      <c r="F468" s="135" t="s">
        <v>5</v>
      </c>
      <c r="G468" s="135" t="s">
        <v>1652</v>
      </c>
      <c r="H468" s="131">
        <v>915</v>
      </c>
    </row>
    <row r="469" spans="1:8" x14ac:dyDescent="0.2">
      <c r="B469" s="135" t="s">
        <v>1789</v>
      </c>
      <c r="C469" s="135" t="s">
        <v>339</v>
      </c>
      <c r="D469" s="135" t="s">
        <v>1852</v>
      </c>
      <c r="E469" s="135"/>
      <c r="F469" s="135" t="s">
        <v>5</v>
      </c>
      <c r="G469" s="135" t="s">
        <v>1652</v>
      </c>
      <c r="H469" s="131">
        <v>450</v>
      </c>
    </row>
    <row r="470" spans="1:8" x14ac:dyDescent="0.2">
      <c r="B470" s="135" t="s">
        <v>1789</v>
      </c>
      <c r="C470" s="135" t="s">
        <v>339</v>
      </c>
      <c r="D470" s="135" t="s">
        <v>1853</v>
      </c>
      <c r="E470" s="135"/>
      <c r="F470" s="135" t="s">
        <v>5</v>
      </c>
      <c r="G470" s="135" t="s">
        <v>1652</v>
      </c>
      <c r="H470" s="131">
        <v>-915</v>
      </c>
    </row>
    <row r="471" spans="1:8" x14ac:dyDescent="0.2">
      <c r="B471" s="135" t="s">
        <v>1789</v>
      </c>
      <c r="C471" s="135" t="s">
        <v>339</v>
      </c>
      <c r="D471" s="135" t="s">
        <v>1852</v>
      </c>
      <c r="E471" s="135"/>
      <c r="F471" s="135" t="s">
        <v>5</v>
      </c>
      <c r="G471" s="135" t="s">
        <v>1652</v>
      </c>
      <c r="H471" s="131">
        <v>465</v>
      </c>
    </row>
    <row r="472" spans="1:8" x14ac:dyDescent="0.2">
      <c r="B472" s="135" t="s">
        <v>1854</v>
      </c>
      <c r="C472" s="135" t="s">
        <v>339</v>
      </c>
      <c r="D472" s="135" t="s">
        <v>1855</v>
      </c>
      <c r="E472" s="135"/>
      <c r="F472" s="135" t="s">
        <v>5</v>
      </c>
      <c r="G472" s="135" t="s">
        <v>1856</v>
      </c>
      <c r="H472" s="131">
        <v>450</v>
      </c>
    </row>
    <row r="473" spans="1:8" x14ac:dyDescent="0.2">
      <c r="B473" s="135" t="s">
        <v>1830</v>
      </c>
      <c r="C473" s="135" t="s">
        <v>339</v>
      </c>
      <c r="D473" s="135" t="s">
        <v>1847</v>
      </c>
      <c r="E473" s="135"/>
      <c r="F473" s="135" t="s">
        <v>5</v>
      </c>
      <c r="G473" s="135"/>
      <c r="H473" s="131">
        <v>900</v>
      </c>
    </row>
    <row r="474" spans="1:8" x14ac:dyDescent="0.2">
      <c r="B474" s="135" t="s">
        <v>2097</v>
      </c>
      <c r="C474" s="135" t="s">
        <v>339</v>
      </c>
      <c r="D474" s="135" t="s">
        <v>2098</v>
      </c>
      <c r="E474" s="135"/>
      <c r="F474" s="135" t="s">
        <v>5</v>
      </c>
      <c r="G474" s="135"/>
      <c r="H474" s="131">
        <v>-900</v>
      </c>
    </row>
    <row r="475" spans="1:8" x14ac:dyDescent="0.2">
      <c r="B475" s="135" t="s">
        <v>2097</v>
      </c>
      <c r="C475" s="135" t="s">
        <v>339</v>
      </c>
      <c r="D475" s="135" t="s">
        <v>2099</v>
      </c>
      <c r="E475" s="135"/>
      <c r="F475" s="135" t="s">
        <v>5</v>
      </c>
      <c r="G475" s="135" t="s">
        <v>2100</v>
      </c>
      <c r="H475" s="131">
        <v>900</v>
      </c>
    </row>
    <row r="476" spans="1:8" x14ac:dyDescent="0.2">
      <c r="A476" s="129" t="s">
        <v>1857</v>
      </c>
      <c r="H476" s="132">
        <v>2265</v>
      </c>
    </row>
    <row r="477" spans="1:8" x14ac:dyDescent="0.2">
      <c r="A477" s="129" t="s">
        <v>1858</v>
      </c>
    </row>
    <row r="478" spans="1:8" x14ac:dyDescent="0.2">
      <c r="B478" s="135" t="s">
        <v>1643</v>
      </c>
      <c r="C478" s="135" t="s">
        <v>339</v>
      </c>
      <c r="D478" s="135" t="s">
        <v>1644</v>
      </c>
      <c r="E478" s="135"/>
      <c r="F478" s="135" t="s">
        <v>5</v>
      </c>
      <c r="G478" s="135" t="s">
        <v>1645</v>
      </c>
      <c r="H478" s="131">
        <v>611.25</v>
      </c>
    </row>
    <row r="479" spans="1:8" x14ac:dyDescent="0.2">
      <c r="B479" s="135" t="s">
        <v>2101</v>
      </c>
      <c r="C479" s="135" t="s">
        <v>339</v>
      </c>
      <c r="D479" s="135" t="s">
        <v>2102</v>
      </c>
      <c r="E479" s="135"/>
      <c r="F479" s="135" t="s">
        <v>5</v>
      </c>
      <c r="G479" s="135" t="s">
        <v>2103</v>
      </c>
      <c r="H479" s="131">
        <v>900</v>
      </c>
    </row>
    <row r="480" spans="1:8" x14ac:dyDescent="0.2">
      <c r="A480" s="129" t="s">
        <v>1859</v>
      </c>
      <c r="H480" s="132">
        <v>1511.25</v>
      </c>
    </row>
    <row r="481" spans="1:8" x14ac:dyDescent="0.2">
      <c r="A481" s="129" t="s">
        <v>1860</v>
      </c>
    </row>
    <row r="482" spans="1:8" x14ac:dyDescent="0.2">
      <c r="B482" s="135" t="s">
        <v>1624</v>
      </c>
      <c r="C482" s="135" t="s">
        <v>339</v>
      </c>
      <c r="D482" s="135" t="s">
        <v>1651</v>
      </c>
      <c r="E482" s="135"/>
      <c r="F482" s="135" t="s">
        <v>5</v>
      </c>
      <c r="G482" s="135" t="s">
        <v>1652</v>
      </c>
      <c r="H482" s="131">
        <v>300</v>
      </c>
    </row>
    <row r="483" spans="1:8" x14ac:dyDescent="0.2">
      <c r="B483" s="135" t="s">
        <v>1789</v>
      </c>
      <c r="C483" s="135" t="s">
        <v>339</v>
      </c>
      <c r="D483" s="135" t="s">
        <v>1853</v>
      </c>
      <c r="E483" s="135"/>
      <c r="F483" s="135" t="s">
        <v>5</v>
      </c>
      <c r="G483" s="135" t="s">
        <v>1652</v>
      </c>
      <c r="H483" s="131">
        <v>-300</v>
      </c>
    </row>
    <row r="484" spans="1:8" x14ac:dyDescent="0.2">
      <c r="B484" s="135" t="s">
        <v>1789</v>
      </c>
      <c r="C484" s="135" t="s">
        <v>339</v>
      </c>
      <c r="D484" s="135" t="s">
        <v>1852</v>
      </c>
      <c r="E484" s="135"/>
      <c r="F484" s="135" t="s">
        <v>5</v>
      </c>
      <c r="G484" s="135" t="s">
        <v>1652</v>
      </c>
      <c r="H484" s="131">
        <v>300</v>
      </c>
    </row>
    <row r="485" spans="1:8" x14ac:dyDescent="0.2">
      <c r="B485" s="135" t="s">
        <v>1854</v>
      </c>
      <c r="C485" s="135" t="s">
        <v>339</v>
      </c>
      <c r="D485" s="135" t="s">
        <v>1855</v>
      </c>
      <c r="E485" s="135"/>
      <c r="F485" s="135" t="s">
        <v>5</v>
      </c>
      <c r="G485" s="135" t="s">
        <v>1856</v>
      </c>
      <c r="H485" s="131">
        <v>600</v>
      </c>
    </row>
    <row r="486" spans="1:8" x14ac:dyDescent="0.2">
      <c r="B486" s="135" t="s">
        <v>1830</v>
      </c>
      <c r="C486" s="135" t="s">
        <v>339</v>
      </c>
      <c r="D486" s="135" t="s">
        <v>1847</v>
      </c>
      <c r="E486" s="135"/>
      <c r="F486" s="135" t="s">
        <v>5</v>
      </c>
      <c r="G486" s="135"/>
      <c r="H486" s="131">
        <v>600</v>
      </c>
    </row>
    <row r="487" spans="1:8" x14ac:dyDescent="0.2">
      <c r="B487" s="135" t="s">
        <v>2097</v>
      </c>
      <c r="C487" s="135" t="s">
        <v>339</v>
      </c>
      <c r="D487" s="135" t="s">
        <v>2099</v>
      </c>
      <c r="E487" s="135"/>
      <c r="F487" s="135" t="s">
        <v>5</v>
      </c>
      <c r="G487" s="135" t="s">
        <v>2100</v>
      </c>
      <c r="H487" s="131">
        <v>600</v>
      </c>
    </row>
    <row r="488" spans="1:8" x14ac:dyDescent="0.2">
      <c r="B488" s="135" t="s">
        <v>2097</v>
      </c>
      <c r="C488" s="135" t="s">
        <v>339</v>
      </c>
      <c r="D488" s="135" t="s">
        <v>2098</v>
      </c>
      <c r="E488" s="135"/>
      <c r="F488" s="135" t="s">
        <v>5</v>
      </c>
      <c r="G488" s="135"/>
      <c r="H488" s="131">
        <v>-600</v>
      </c>
    </row>
    <row r="489" spans="1:8" x14ac:dyDescent="0.2">
      <c r="B489" s="135" t="s">
        <v>2104</v>
      </c>
      <c r="C489" s="135" t="s">
        <v>339</v>
      </c>
      <c r="D489" s="135" t="s">
        <v>2105</v>
      </c>
      <c r="E489" s="135"/>
      <c r="F489" s="135" t="s">
        <v>5</v>
      </c>
      <c r="G489" s="135" t="s">
        <v>2106</v>
      </c>
      <c r="H489" s="131">
        <v>600</v>
      </c>
    </row>
    <row r="490" spans="1:8" x14ac:dyDescent="0.2">
      <c r="B490" s="135" t="s">
        <v>2251</v>
      </c>
      <c r="C490" s="135" t="s">
        <v>339</v>
      </c>
      <c r="D490" s="135" t="s">
        <v>2252</v>
      </c>
      <c r="E490" s="135"/>
      <c r="F490" s="135" t="s">
        <v>5</v>
      </c>
      <c r="G490" s="135" t="s">
        <v>2253</v>
      </c>
      <c r="H490" s="131">
        <v>300</v>
      </c>
    </row>
    <row r="491" spans="1:8" x14ac:dyDescent="0.2">
      <c r="A491" s="129" t="s">
        <v>1861</v>
      </c>
      <c r="H491" s="132">
        <v>2400</v>
      </c>
    </row>
    <row r="492" spans="1:8" x14ac:dyDescent="0.2">
      <c r="A492" s="129" t="s">
        <v>2360</v>
      </c>
    </row>
    <row r="493" spans="1:8" x14ac:dyDescent="0.2">
      <c r="A493" s="129" t="s">
        <v>2364</v>
      </c>
    </row>
    <row r="494" spans="1:8" x14ac:dyDescent="0.2">
      <c r="B494" s="135" t="s">
        <v>826</v>
      </c>
      <c r="C494" s="135" t="s">
        <v>339</v>
      </c>
      <c r="D494" s="135" t="s">
        <v>827</v>
      </c>
      <c r="E494" s="135"/>
      <c r="F494" s="135" t="s">
        <v>5</v>
      </c>
      <c r="G494" s="135" t="s">
        <v>828</v>
      </c>
      <c r="H494" s="131">
        <v>255</v>
      </c>
    </row>
    <row r="495" spans="1:8" x14ac:dyDescent="0.2">
      <c r="B495" s="135" t="s">
        <v>829</v>
      </c>
      <c r="C495" s="135" t="s">
        <v>339</v>
      </c>
      <c r="D495" s="135" t="s">
        <v>830</v>
      </c>
      <c r="E495" s="135"/>
      <c r="F495" s="135" t="s">
        <v>5</v>
      </c>
      <c r="G495" s="135" t="s">
        <v>831</v>
      </c>
      <c r="H495" s="131">
        <v>255</v>
      </c>
    </row>
    <row r="496" spans="1:8" x14ac:dyDescent="0.2">
      <c r="B496" s="135" t="s">
        <v>1015</v>
      </c>
      <c r="C496" s="135" t="s">
        <v>339</v>
      </c>
      <c r="D496" s="135" t="s">
        <v>1016</v>
      </c>
      <c r="E496" s="135"/>
      <c r="F496" s="135" t="s">
        <v>5</v>
      </c>
      <c r="G496" s="135" t="s">
        <v>1017</v>
      </c>
      <c r="H496" s="131">
        <v>360</v>
      </c>
    </row>
    <row r="497" spans="2:8" x14ac:dyDescent="0.2">
      <c r="B497" s="135" t="s">
        <v>972</v>
      </c>
      <c r="C497" s="135" t="s">
        <v>339</v>
      </c>
      <c r="D497" s="135" t="s">
        <v>1018</v>
      </c>
      <c r="E497" s="135"/>
      <c r="F497" s="135" t="s">
        <v>5</v>
      </c>
      <c r="G497" s="135" t="s">
        <v>1019</v>
      </c>
      <c r="H497" s="131">
        <v>75</v>
      </c>
    </row>
    <row r="498" spans="2:8" x14ac:dyDescent="0.2">
      <c r="B498" s="135" t="s">
        <v>1173</v>
      </c>
      <c r="C498" s="135" t="s">
        <v>339</v>
      </c>
      <c r="D498" s="135" t="s">
        <v>1174</v>
      </c>
      <c r="E498" s="135"/>
      <c r="F498" s="135" t="s">
        <v>5</v>
      </c>
      <c r="G498" s="135" t="s">
        <v>1175</v>
      </c>
      <c r="H498" s="131">
        <v>165</v>
      </c>
    </row>
    <row r="499" spans="2:8" x14ac:dyDescent="0.2">
      <c r="B499" s="135" t="s">
        <v>1176</v>
      </c>
      <c r="C499" s="135" t="s">
        <v>339</v>
      </c>
      <c r="D499" s="135" t="s">
        <v>1177</v>
      </c>
      <c r="E499" s="135"/>
      <c r="F499" s="135" t="s">
        <v>5</v>
      </c>
      <c r="G499" s="135" t="s">
        <v>1178</v>
      </c>
      <c r="H499" s="131">
        <v>232.5</v>
      </c>
    </row>
    <row r="500" spans="2:8" x14ac:dyDescent="0.2">
      <c r="B500" s="135" t="s">
        <v>1168</v>
      </c>
      <c r="C500" s="135" t="s">
        <v>339</v>
      </c>
      <c r="D500" s="135" t="s">
        <v>1360</v>
      </c>
      <c r="E500" s="135"/>
      <c r="F500" s="135" t="s">
        <v>5</v>
      </c>
      <c r="G500" s="135" t="s">
        <v>1361</v>
      </c>
      <c r="H500" s="131">
        <v>675</v>
      </c>
    </row>
    <row r="501" spans="2:8" x14ac:dyDescent="0.2">
      <c r="B501" s="135" t="s">
        <v>1362</v>
      </c>
      <c r="C501" s="135" t="s">
        <v>339</v>
      </c>
      <c r="D501" s="135" t="s">
        <v>1363</v>
      </c>
      <c r="E501" s="135"/>
      <c r="F501" s="135" t="s">
        <v>5</v>
      </c>
      <c r="G501" s="135" t="s">
        <v>1361</v>
      </c>
      <c r="H501" s="131">
        <v>1350</v>
      </c>
    </row>
    <row r="502" spans="2:8" x14ac:dyDescent="0.2">
      <c r="B502" s="135" t="s">
        <v>1362</v>
      </c>
      <c r="C502" s="135" t="s">
        <v>339</v>
      </c>
      <c r="D502" s="135" t="s">
        <v>1364</v>
      </c>
      <c r="E502" s="135"/>
      <c r="F502" s="135" t="s">
        <v>5</v>
      </c>
      <c r="G502" s="135" t="s">
        <v>1361</v>
      </c>
      <c r="H502" s="131">
        <v>-675</v>
      </c>
    </row>
    <row r="503" spans="2:8" x14ac:dyDescent="0.2">
      <c r="B503" s="135" t="s">
        <v>1312</v>
      </c>
      <c r="C503" s="135" t="s">
        <v>339</v>
      </c>
      <c r="D503" s="135" t="s">
        <v>1365</v>
      </c>
      <c r="E503" s="135"/>
      <c r="F503" s="135" t="s">
        <v>5</v>
      </c>
      <c r="G503" s="135" t="s">
        <v>1366</v>
      </c>
      <c r="H503" s="131">
        <v>2400</v>
      </c>
    </row>
    <row r="504" spans="2:8" x14ac:dyDescent="0.2">
      <c r="B504" s="135" t="s">
        <v>1542</v>
      </c>
      <c r="C504" s="135" t="s">
        <v>339</v>
      </c>
      <c r="D504" s="135" t="s">
        <v>1543</v>
      </c>
      <c r="E504" s="135"/>
      <c r="F504" s="135" t="s">
        <v>5</v>
      </c>
      <c r="G504" s="135" t="s">
        <v>1544</v>
      </c>
      <c r="H504" s="131">
        <v>2400</v>
      </c>
    </row>
    <row r="505" spans="2:8" x14ac:dyDescent="0.2">
      <c r="B505" s="135" t="s">
        <v>1545</v>
      </c>
      <c r="C505" s="135" t="s">
        <v>339</v>
      </c>
      <c r="D505" s="135" t="s">
        <v>1546</v>
      </c>
      <c r="E505" s="135"/>
      <c r="F505" s="135" t="s">
        <v>5</v>
      </c>
      <c r="G505" s="135" t="s">
        <v>1547</v>
      </c>
      <c r="H505" s="131">
        <v>2467.5</v>
      </c>
    </row>
    <row r="506" spans="2:8" x14ac:dyDescent="0.2">
      <c r="B506" s="135" t="s">
        <v>1548</v>
      </c>
      <c r="C506" s="135" t="s">
        <v>339</v>
      </c>
      <c r="D506" s="135" t="s">
        <v>1549</v>
      </c>
      <c r="E506" s="135"/>
      <c r="F506" s="135" t="s">
        <v>5</v>
      </c>
      <c r="G506" s="135" t="s">
        <v>1550</v>
      </c>
      <c r="H506" s="131">
        <v>2400</v>
      </c>
    </row>
    <row r="507" spans="2:8" x14ac:dyDescent="0.2">
      <c r="B507" s="135" t="s">
        <v>1608</v>
      </c>
      <c r="C507" s="135" t="s">
        <v>339</v>
      </c>
      <c r="D507" s="135" t="s">
        <v>1655</v>
      </c>
      <c r="E507" s="135"/>
      <c r="F507" s="135" t="s">
        <v>5</v>
      </c>
      <c r="G507" s="135" t="s">
        <v>1550</v>
      </c>
      <c r="H507" s="131">
        <v>-2400</v>
      </c>
    </row>
    <row r="508" spans="2:8" x14ac:dyDescent="0.2">
      <c r="B508" s="135" t="s">
        <v>1608</v>
      </c>
      <c r="C508" s="135" t="s">
        <v>339</v>
      </c>
      <c r="D508" s="135" t="s">
        <v>1656</v>
      </c>
      <c r="E508" s="135"/>
      <c r="F508" s="135" t="s">
        <v>5</v>
      </c>
      <c r="G508" s="135" t="s">
        <v>1550</v>
      </c>
      <c r="H508" s="131">
        <v>2400</v>
      </c>
    </row>
    <row r="509" spans="2:8" x14ac:dyDescent="0.2">
      <c r="B509" s="135" t="s">
        <v>1643</v>
      </c>
      <c r="C509" s="135" t="s">
        <v>339</v>
      </c>
      <c r="D509" s="135" t="s">
        <v>1644</v>
      </c>
      <c r="E509" s="135"/>
      <c r="F509" s="135" t="s">
        <v>5</v>
      </c>
      <c r="G509" s="135" t="s">
        <v>1645</v>
      </c>
      <c r="H509" s="131">
        <v>2400</v>
      </c>
    </row>
    <row r="510" spans="2:8" x14ac:dyDescent="0.2">
      <c r="B510" s="135" t="s">
        <v>1624</v>
      </c>
      <c r="C510" s="135" t="s">
        <v>339</v>
      </c>
      <c r="D510" s="135" t="s">
        <v>1651</v>
      </c>
      <c r="E510" s="135"/>
      <c r="F510" s="135" t="s">
        <v>5</v>
      </c>
      <c r="G510" s="135" t="s">
        <v>1652</v>
      </c>
      <c r="H510" s="131">
        <v>2400</v>
      </c>
    </row>
    <row r="511" spans="2:8" x14ac:dyDescent="0.2">
      <c r="B511" s="135" t="s">
        <v>1789</v>
      </c>
      <c r="C511" s="135" t="s">
        <v>339</v>
      </c>
      <c r="D511" s="135" t="s">
        <v>1852</v>
      </c>
      <c r="E511" s="135"/>
      <c r="F511" s="135" t="s">
        <v>5</v>
      </c>
      <c r="G511" s="135" t="s">
        <v>1652</v>
      </c>
      <c r="H511" s="131">
        <v>2400</v>
      </c>
    </row>
    <row r="512" spans="2:8" x14ac:dyDescent="0.2">
      <c r="B512" s="135" t="s">
        <v>1789</v>
      </c>
      <c r="C512" s="135" t="s">
        <v>339</v>
      </c>
      <c r="D512" s="135" t="s">
        <v>1853</v>
      </c>
      <c r="E512" s="135"/>
      <c r="F512" s="135" t="s">
        <v>5</v>
      </c>
      <c r="G512" s="135" t="s">
        <v>1652</v>
      </c>
      <c r="H512" s="131">
        <v>-2400</v>
      </c>
    </row>
    <row r="513" spans="2:8" x14ac:dyDescent="0.2">
      <c r="B513" s="135" t="s">
        <v>1854</v>
      </c>
      <c r="C513" s="135" t="s">
        <v>339</v>
      </c>
      <c r="D513" s="135" t="s">
        <v>1855</v>
      </c>
      <c r="E513" s="135"/>
      <c r="F513" s="135" t="s">
        <v>5</v>
      </c>
      <c r="G513" s="135" t="s">
        <v>1856</v>
      </c>
      <c r="H513" s="131">
        <v>2400</v>
      </c>
    </row>
    <row r="514" spans="2:8" x14ac:dyDescent="0.2">
      <c r="B514" s="135" t="s">
        <v>1830</v>
      </c>
      <c r="C514" s="135" t="s">
        <v>339</v>
      </c>
      <c r="D514" s="135" t="s">
        <v>1847</v>
      </c>
      <c r="E514" s="135"/>
      <c r="F514" s="135" t="s">
        <v>5</v>
      </c>
      <c r="G514" s="135"/>
      <c r="H514" s="131">
        <v>1120</v>
      </c>
    </row>
    <row r="515" spans="2:8" x14ac:dyDescent="0.2">
      <c r="B515" s="135" t="s">
        <v>1830</v>
      </c>
      <c r="C515" s="135" t="s">
        <v>339</v>
      </c>
      <c r="D515" s="135" t="s">
        <v>1847</v>
      </c>
      <c r="E515" s="135"/>
      <c r="F515" s="135" t="s">
        <v>5</v>
      </c>
      <c r="G515" s="135"/>
      <c r="H515" s="131">
        <v>2400</v>
      </c>
    </row>
    <row r="516" spans="2:8" x14ac:dyDescent="0.2">
      <c r="B516" s="135" t="s">
        <v>2097</v>
      </c>
      <c r="C516" s="135" t="s">
        <v>339</v>
      </c>
      <c r="D516" s="135" t="s">
        <v>2099</v>
      </c>
      <c r="E516" s="135"/>
      <c r="F516" s="135" t="s">
        <v>5</v>
      </c>
      <c r="G516" s="135" t="s">
        <v>2100</v>
      </c>
      <c r="H516" s="131">
        <v>2400</v>
      </c>
    </row>
    <row r="517" spans="2:8" x14ac:dyDescent="0.2">
      <c r="B517" s="135" t="s">
        <v>2097</v>
      </c>
      <c r="C517" s="135" t="s">
        <v>339</v>
      </c>
      <c r="D517" s="135" t="s">
        <v>2099</v>
      </c>
      <c r="E517" s="135"/>
      <c r="F517" s="135" t="s">
        <v>5</v>
      </c>
      <c r="G517" s="135" t="s">
        <v>2100</v>
      </c>
      <c r="H517" s="131">
        <v>1120</v>
      </c>
    </row>
    <row r="518" spans="2:8" x14ac:dyDescent="0.2">
      <c r="B518" s="135" t="s">
        <v>2097</v>
      </c>
      <c r="C518" s="135" t="s">
        <v>339</v>
      </c>
      <c r="D518" s="135" t="s">
        <v>2098</v>
      </c>
      <c r="E518" s="135"/>
      <c r="F518" s="135" t="s">
        <v>5</v>
      </c>
      <c r="G518" s="135"/>
      <c r="H518" s="131">
        <v>-1120</v>
      </c>
    </row>
    <row r="519" spans="2:8" x14ac:dyDescent="0.2">
      <c r="B519" s="135" t="s">
        <v>2097</v>
      </c>
      <c r="C519" s="135" t="s">
        <v>339</v>
      </c>
      <c r="D519" s="135" t="s">
        <v>2098</v>
      </c>
      <c r="E519" s="135"/>
      <c r="F519" s="135" t="s">
        <v>5</v>
      </c>
      <c r="G519" s="135"/>
      <c r="H519" s="131">
        <v>-2400</v>
      </c>
    </row>
    <row r="520" spans="2:8" x14ac:dyDescent="0.2">
      <c r="B520" s="135" t="s">
        <v>2101</v>
      </c>
      <c r="C520" s="135" t="s">
        <v>339</v>
      </c>
      <c r="D520" s="135" t="s">
        <v>2102</v>
      </c>
      <c r="E520" s="135"/>
      <c r="F520" s="135" t="s">
        <v>5</v>
      </c>
      <c r="G520" s="135" t="s">
        <v>2103</v>
      </c>
      <c r="H520" s="131">
        <v>1120</v>
      </c>
    </row>
    <row r="521" spans="2:8" x14ac:dyDescent="0.2">
      <c r="B521" s="135" t="s">
        <v>2101</v>
      </c>
      <c r="C521" s="135" t="s">
        <v>339</v>
      </c>
      <c r="D521" s="135" t="s">
        <v>2102</v>
      </c>
      <c r="E521" s="135"/>
      <c r="F521" s="135" t="s">
        <v>5</v>
      </c>
      <c r="G521" s="135" t="s">
        <v>2103</v>
      </c>
      <c r="H521" s="131">
        <v>2400</v>
      </c>
    </row>
    <row r="522" spans="2:8" x14ac:dyDescent="0.2">
      <c r="B522" s="135" t="s">
        <v>2104</v>
      </c>
      <c r="C522" s="135" t="s">
        <v>339</v>
      </c>
      <c r="D522" s="135" t="s">
        <v>2105</v>
      </c>
      <c r="E522" s="135"/>
      <c r="F522" s="135" t="s">
        <v>5</v>
      </c>
      <c r="G522" s="135" t="s">
        <v>2106</v>
      </c>
      <c r="H522" s="131">
        <v>2400</v>
      </c>
    </row>
    <row r="523" spans="2:8" x14ac:dyDescent="0.2">
      <c r="B523" s="135" t="s">
        <v>2254</v>
      </c>
      <c r="C523" s="135" t="s">
        <v>339</v>
      </c>
      <c r="D523" s="135" t="s">
        <v>2255</v>
      </c>
      <c r="E523" s="135"/>
      <c r="F523" s="135" t="s">
        <v>5</v>
      </c>
      <c r="G523" s="135" t="s">
        <v>2256</v>
      </c>
      <c r="H523" s="131">
        <v>2085</v>
      </c>
    </row>
    <row r="524" spans="2:8" x14ac:dyDescent="0.2">
      <c r="B524" s="135" t="s">
        <v>2251</v>
      </c>
      <c r="C524" s="135" t="s">
        <v>339</v>
      </c>
      <c r="D524" s="135" t="s">
        <v>2252</v>
      </c>
      <c r="E524" s="135"/>
      <c r="F524" s="135" t="s">
        <v>5</v>
      </c>
      <c r="G524" s="135" t="s">
        <v>2253</v>
      </c>
      <c r="H524" s="131">
        <v>2400</v>
      </c>
    </row>
    <row r="525" spans="2:8" ht="25" x14ac:dyDescent="0.2">
      <c r="B525" s="135" t="s">
        <v>2240</v>
      </c>
      <c r="C525" s="135" t="s">
        <v>339</v>
      </c>
      <c r="D525" s="135" t="s">
        <v>2365</v>
      </c>
      <c r="E525" s="135"/>
      <c r="F525" s="135" t="s">
        <v>5</v>
      </c>
      <c r="G525" s="135" t="s">
        <v>2366</v>
      </c>
      <c r="H525" s="131">
        <v>960</v>
      </c>
    </row>
    <row r="526" spans="2:8" ht="25" x14ac:dyDescent="0.2">
      <c r="B526" s="135" t="s">
        <v>2340</v>
      </c>
      <c r="C526" s="135" t="s">
        <v>339</v>
      </c>
      <c r="D526" s="135" t="s">
        <v>2369</v>
      </c>
      <c r="E526" s="135"/>
      <c r="F526" s="135" t="s">
        <v>5</v>
      </c>
      <c r="G526" s="135" t="s">
        <v>2366</v>
      </c>
      <c r="H526" s="131">
        <v>-960</v>
      </c>
    </row>
    <row r="527" spans="2:8" x14ac:dyDescent="0.2">
      <c r="B527" s="135" t="s">
        <v>2340</v>
      </c>
      <c r="C527" s="135" t="s">
        <v>339</v>
      </c>
      <c r="D527" s="135" t="s">
        <v>2367</v>
      </c>
      <c r="E527" s="135"/>
      <c r="F527" s="135" t="s">
        <v>5</v>
      </c>
      <c r="G527" s="135" t="s">
        <v>2368</v>
      </c>
      <c r="H527" s="131">
        <v>2400</v>
      </c>
    </row>
    <row r="528" spans="2:8" x14ac:dyDescent="0.2">
      <c r="B528" s="135" t="s">
        <v>2361</v>
      </c>
      <c r="C528" s="135" t="s">
        <v>339</v>
      </c>
      <c r="D528" s="135" t="s">
        <v>2362</v>
      </c>
      <c r="E528" s="135"/>
      <c r="F528" s="135" t="s">
        <v>5</v>
      </c>
      <c r="G528" s="135" t="s">
        <v>2363</v>
      </c>
      <c r="H528" s="131">
        <v>1732.5</v>
      </c>
    </row>
    <row r="529" spans="1:8" x14ac:dyDescent="0.2">
      <c r="B529" s="135" t="s">
        <v>2370</v>
      </c>
      <c r="C529" s="135" t="s">
        <v>339</v>
      </c>
      <c r="D529" s="135" t="s">
        <v>2371</v>
      </c>
      <c r="E529" s="135"/>
      <c r="F529" s="135" t="s">
        <v>5</v>
      </c>
      <c r="G529" s="135" t="s">
        <v>2372</v>
      </c>
      <c r="H529" s="131">
        <v>2160</v>
      </c>
    </row>
    <row r="530" spans="1:8" x14ac:dyDescent="0.2">
      <c r="B530" s="135" t="s">
        <v>2553</v>
      </c>
      <c r="C530" s="135" t="s">
        <v>339</v>
      </c>
      <c r="D530" s="135" t="s">
        <v>2566</v>
      </c>
      <c r="E530" s="135"/>
      <c r="F530" s="135" t="s">
        <v>5</v>
      </c>
      <c r="G530" s="135" t="s">
        <v>2567</v>
      </c>
      <c r="H530" s="131">
        <v>2400</v>
      </c>
    </row>
    <row r="531" spans="1:8" x14ac:dyDescent="0.2">
      <c r="B531" s="135" t="s">
        <v>2553</v>
      </c>
      <c r="C531" s="135" t="s">
        <v>339</v>
      </c>
      <c r="D531" s="135" t="s">
        <v>2568</v>
      </c>
      <c r="E531" s="135"/>
      <c r="F531" s="135" t="s">
        <v>5</v>
      </c>
      <c r="G531" s="135" t="s">
        <v>2372</v>
      </c>
      <c r="H531" s="131">
        <v>-2160</v>
      </c>
    </row>
    <row r="532" spans="1:8" x14ac:dyDescent="0.2">
      <c r="B532" s="135" t="s">
        <v>2569</v>
      </c>
      <c r="C532" s="135" t="s">
        <v>339</v>
      </c>
      <c r="D532" s="135" t="s">
        <v>2570</v>
      </c>
      <c r="E532" s="135"/>
      <c r="F532" s="135" t="s">
        <v>5</v>
      </c>
      <c r="G532" s="135" t="s">
        <v>2571</v>
      </c>
      <c r="H532" s="131">
        <v>1365</v>
      </c>
    </row>
    <row r="533" spans="1:8" x14ac:dyDescent="0.2">
      <c r="B533" s="135" t="s">
        <v>2548</v>
      </c>
      <c r="C533" s="135" t="s">
        <v>339</v>
      </c>
      <c r="D533" s="135" t="s">
        <v>2572</v>
      </c>
      <c r="E533" s="135"/>
      <c r="F533" s="135" t="s">
        <v>5</v>
      </c>
      <c r="G533" s="135" t="s">
        <v>2573</v>
      </c>
      <c r="H533" s="131">
        <v>148.5</v>
      </c>
    </row>
    <row r="534" spans="1:8" x14ac:dyDescent="0.2">
      <c r="B534" s="135" t="s">
        <v>2737</v>
      </c>
      <c r="C534" s="135" t="s">
        <v>339</v>
      </c>
      <c r="D534" s="135" t="s">
        <v>2753</v>
      </c>
      <c r="E534" s="135"/>
      <c r="F534" s="135" t="s">
        <v>5</v>
      </c>
      <c r="G534" s="135" t="s">
        <v>2754</v>
      </c>
      <c r="H534" s="131">
        <v>165</v>
      </c>
    </row>
    <row r="535" spans="1:8" x14ac:dyDescent="0.2">
      <c r="B535" s="135" t="s">
        <v>2755</v>
      </c>
      <c r="C535" s="135" t="s">
        <v>339</v>
      </c>
      <c r="D535" s="135" t="s">
        <v>2756</v>
      </c>
      <c r="E535" s="135"/>
      <c r="F535" s="135" t="s">
        <v>5</v>
      </c>
      <c r="G535" s="135" t="s">
        <v>2573</v>
      </c>
      <c r="H535" s="131">
        <v>-148.5</v>
      </c>
    </row>
    <row r="536" spans="1:8" x14ac:dyDescent="0.2">
      <c r="B536" s="135" t="s">
        <v>2757</v>
      </c>
      <c r="C536" s="135" t="s">
        <v>339</v>
      </c>
      <c r="D536" s="135" t="s">
        <v>2758</v>
      </c>
      <c r="E536" s="135"/>
      <c r="F536" s="135" t="s">
        <v>5</v>
      </c>
      <c r="G536" s="135" t="s">
        <v>2759</v>
      </c>
      <c r="H536" s="131">
        <v>217.5</v>
      </c>
    </row>
    <row r="537" spans="1:8" x14ac:dyDescent="0.2">
      <c r="A537" s="129" t="s">
        <v>2373</v>
      </c>
      <c r="H537" s="132">
        <v>41765</v>
      </c>
    </row>
    <row r="538" spans="1:8" x14ac:dyDescent="0.2">
      <c r="A538" s="129" t="s">
        <v>2574</v>
      </c>
    </row>
    <row r="539" spans="1:8" x14ac:dyDescent="0.2">
      <c r="B539" s="135" t="s">
        <v>2560</v>
      </c>
      <c r="C539" s="135" t="s">
        <v>102</v>
      </c>
      <c r="D539" s="135"/>
      <c r="E539" s="135" t="s">
        <v>1098</v>
      </c>
      <c r="F539" s="135" t="s">
        <v>5</v>
      </c>
      <c r="G539" s="135" t="s">
        <v>2575</v>
      </c>
      <c r="H539" s="131">
        <v>2795.65</v>
      </c>
    </row>
    <row r="540" spans="1:8" x14ac:dyDescent="0.2">
      <c r="B540" s="135" t="s">
        <v>2560</v>
      </c>
      <c r="C540" s="135" t="s">
        <v>102</v>
      </c>
      <c r="D540" s="135"/>
      <c r="E540" s="135" t="s">
        <v>1098</v>
      </c>
      <c r="F540" s="135" t="s">
        <v>5</v>
      </c>
      <c r="G540" s="135" t="s">
        <v>2576</v>
      </c>
      <c r="H540" s="131">
        <v>280.5</v>
      </c>
    </row>
    <row r="541" spans="1:8" x14ac:dyDescent="0.2">
      <c r="B541" s="135" t="s">
        <v>2736</v>
      </c>
      <c r="C541" s="135" t="s">
        <v>102</v>
      </c>
      <c r="D541" s="135">
        <v>95963</v>
      </c>
      <c r="E541" s="135" t="s">
        <v>1098</v>
      </c>
      <c r="F541" s="135" t="s">
        <v>5</v>
      </c>
      <c r="G541" s="135" t="s">
        <v>2576</v>
      </c>
      <c r="H541" s="131">
        <v>280.5</v>
      </c>
    </row>
    <row r="542" spans="1:8" x14ac:dyDescent="0.2">
      <c r="A542" s="129" t="s">
        <v>2577</v>
      </c>
      <c r="H542" s="132">
        <v>3356.65</v>
      </c>
    </row>
    <row r="543" spans="1:8" x14ac:dyDescent="0.2">
      <c r="A543" s="129" t="s">
        <v>2578</v>
      </c>
      <c r="H543" s="132">
        <v>45121.65</v>
      </c>
    </row>
    <row r="544" spans="1:8" x14ac:dyDescent="0.2">
      <c r="A544" s="129" t="s">
        <v>1862</v>
      </c>
    </row>
    <row r="545" spans="2:8" x14ac:dyDescent="0.2">
      <c r="B545" s="135" t="s">
        <v>1545</v>
      </c>
      <c r="C545" s="135" t="s">
        <v>339</v>
      </c>
      <c r="D545" s="135" t="s">
        <v>1546</v>
      </c>
      <c r="E545" s="135"/>
      <c r="F545" s="135" t="s">
        <v>5</v>
      </c>
      <c r="G545" s="135" t="s">
        <v>1547</v>
      </c>
      <c r="H545" s="131">
        <v>311.25</v>
      </c>
    </row>
    <row r="546" spans="2:8" x14ac:dyDescent="0.2">
      <c r="B546" s="135" t="s">
        <v>1548</v>
      </c>
      <c r="C546" s="135" t="s">
        <v>339</v>
      </c>
      <c r="D546" s="135" t="s">
        <v>1549</v>
      </c>
      <c r="E546" s="135"/>
      <c r="F546" s="135" t="s">
        <v>5</v>
      </c>
      <c r="G546" s="135" t="s">
        <v>1550</v>
      </c>
      <c r="H546" s="131">
        <v>540</v>
      </c>
    </row>
    <row r="547" spans="2:8" x14ac:dyDescent="0.2">
      <c r="B547" s="135" t="s">
        <v>1608</v>
      </c>
      <c r="C547" s="135" t="s">
        <v>339</v>
      </c>
      <c r="D547" s="135" t="s">
        <v>1656</v>
      </c>
      <c r="E547" s="135"/>
      <c r="F547" s="135" t="s">
        <v>5</v>
      </c>
      <c r="G547" s="135" t="s">
        <v>1550</v>
      </c>
      <c r="H547" s="131">
        <v>540</v>
      </c>
    </row>
    <row r="548" spans="2:8" x14ac:dyDescent="0.2">
      <c r="B548" s="135" t="s">
        <v>1608</v>
      </c>
      <c r="C548" s="135" t="s">
        <v>339</v>
      </c>
      <c r="D548" s="135" t="s">
        <v>1655</v>
      </c>
      <c r="E548" s="135"/>
      <c r="F548" s="135" t="s">
        <v>5</v>
      </c>
      <c r="G548" s="135" t="s">
        <v>1550</v>
      </c>
      <c r="H548" s="131">
        <v>-540</v>
      </c>
    </row>
    <row r="549" spans="2:8" x14ac:dyDescent="0.2">
      <c r="B549" s="135" t="s">
        <v>1643</v>
      </c>
      <c r="C549" s="135" t="s">
        <v>339</v>
      </c>
      <c r="D549" s="135" t="s">
        <v>1644</v>
      </c>
      <c r="E549" s="135"/>
      <c r="F549" s="135" t="s">
        <v>5</v>
      </c>
      <c r="G549" s="135" t="s">
        <v>1645</v>
      </c>
      <c r="H549" s="131">
        <v>0</v>
      </c>
    </row>
    <row r="550" spans="2:8" x14ac:dyDescent="0.2">
      <c r="B550" s="135" t="s">
        <v>1643</v>
      </c>
      <c r="C550" s="135" t="s">
        <v>339</v>
      </c>
      <c r="D550" s="135" t="s">
        <v>1644</v>
      </c>
      <c r="E550" s="135"/>
      <c r="F550" s="135" t="s">
        <v>5</v>
      </c>
      <c r="G550" s="135" t="s">
        <v>1645</v>
      </c>
      <c r="H550" s="131">
        <v>0</v>
      </c>
    </row>
    <row r="551" spans="2:8" x14ac:dyDescent="0.2">
      <c r="B551" s="135" t="s">
        <v>1643</v>
      </c>
      <c r="C551" s="135" t="s">
        <v>339</v>
      </c>
      <c r="D551" s="135" t="s">
        <v>1644</v>
      </c>
      <c r="E551" s="135"/>
      <c r="F551" s="135" t="s">
        <v>5</v>
      </c>
      <c r="G551" s="135" t="s">
        <v>1645</v>
      </c>
      <c r="H551" s="131">
        <v>0</v>
      </c>
    </row>
    <row r="552" spans="2:8" x14ac:dyDescent="0.2">
      <c r="B552" s="135" t="s">
        <v>1643</v>
      </c>
      <c r="C552" s="135" t="s">
        <v>339</v>
      </c>
      <c r="D552" s="135" t="s">
        <v>1644</v>
      </c>
      <c r="E552" s="135"/>
      <c r="F552" s="135" t="s">
        <v>5</v>
      </c>
      <c r="G552" s="135" t="s">
        <v>1645</v>
      </c>
      <c r="H552" s="131">
        <v>0</v>
      </c>
    </row>
    <row r="553" spans="2:8" x14ac:dyDescent="0.2">
      <c r="B553" s="135" t="s">
        <v>1643</v>
      </c>
      <c r="C553" s="135" t="s">
        <v>339</v>
      </c>
      <c r="D553" s="135" t="s">
        <v>1644</v>
      </c>
      <c r="E553" s="135"/>
      <c r="F553" s="135" t="s">
        <v>5</v>
      </c>
      <c r="G553" s="135" t="s">
        <v>1645</v>
      </c>
      <c r="H553" s="131">
        <v>0</v>
      </c>
    </row>
    <row r="554" spans="2:8" x14ac:dyDescent="0.2">
      <c r="B554" s="135" t="s">
        <v>1643</v>
      </c>
      <c r="C554" s="135" t="s">
        <v>339</v>
      </c>
      <c r="D554" s="135" t="s">
        <v>1644</v>
      </c>
      <c r="E554" s="135"/>
      <c r="F554" s="135" t="s">
        <v>5</v>
      </c>
      <c r="G554" s="135" t="s">
        <v>1645</v>
      </c>
      <c r="H554" s="131">
        <v>0</v>
      </c>
    </row>
    <row r="555" spans="2:8" x14ac:dyDescent="0.2">
      <c r="B555" s="135" t="s">
        <v>1643</v>
      </c>
      <c r="C555" s="135" t="s">
        <v>339</v>
      </c>
      <c r="D555" s="135" t="s">
        <v>1644</v>
      </c>
      <c r="E555" s="135"/>
      <c r="F555" s="135" t="s">
        <v>5</v>
      </c>
      <c r="G555" s="135" t="s">
        <v>1645</v>
      </c>
      <c r="H555" s="131">
        <v>0</v>
      </c>
    </row>
    <row r="556" spans="2:8" x14ac:dyDescent="0.2">
      <c r="B556" s="135" t="s">
        <v>1624</v>
      </c>
      <c r="C556" s="135" t="s">
        <v>339</v>
      </c>
      <c r="D556" s="135" t="s">
        <v>1651</v>
      </c>
      <c r="E556" s="135"/>
      <c r="F556" s="135" t="s">
        <v>5</v>
      </c>
      <c r="G556" s="135" t="s">
        <v>1652</v>
      </c>
      <c r="H556" s="131">
        <v>4320.32</v>
      </c>
    </row>
    <row r="557" spans="2:8" x14ac:dyDescent="0.2">
      <c r="B557" s="135" t="s">
        <v>1789</v>
      </c>
      <c r="C557" s="135" t="s">
        <v>339</v>
      </c>
      <c r="D557" s="135" t="s">
        <v>1852</v>
      </c>
      <c r="E557" s="135"/>
      <c r="F557" s="135" t="s">
        <v>5</v>
      </c>
      <c r="G557" s="135" t="s">
        <v>1652</v>
      </c>
      <c r="H557" s="131">
        <v>516</v>
      </c>
    </row>
    <row r="558" spans="2:8" x14ac:dyDescent="0.2">
      <c r="B558" s="135" t="s">
        <v>1789</v>
      </c>
      <c r="C558" s="135" t="s">
        <v>339</v>
      </c>
      <c r="D558" s="135" t="s">
        <v>1853</v>
      </c>
      <c r="E558" s="135"/>
      <c r="F558" s="135" t="s">
        <v>5</v>
      </c>
      <c r="G558" s="135" t="s">
        <v>1652</v>
      </c>
      <c r="H558" s="131">
        <v>-4320.32</v>
      </c>
    </row>
    <row r="559" spans="2:8" x14ac:dyDescent="0.2">
      <c r="B559" s="135" t="s">
        <v>1789</v>
      </c>
      <c r="C559" s="135" t="s">
        <v>339</v>
      </c>
      <c r="D559" s="135" t="s">
        <v>1852</v>
      </c>
      <c r="E559" s="135"/>
      <c r="F559" s="135" t="s">
        <v>5</v>
      </c>
      <c r="G559" s="135" t="s">
        <v>1652</v>
      </c>
      <c r="H559" s="131">
        <v>333.33</v>
      </c>
    </row>
    <row r="560" spans="2:8" x14ac:dyDescent="0.2">
      <c r="B560" s="135" t="s">
        <v>1789</v>
      </c>
      <c r="C560" s="135" t="s">
        <v>339</v>
      </c>
      <c r="D560" s="135" t="s">
        <v>1852</v>
      </c>
      <c r="E560" s="135"/>
      <c r="F560" s="135" t="s">
        <v>5</v>
      </c>
      <c r="G560" s="135" t="s">
        <v>1652</v>
      </c>
      <c r="H560" s="131">
        <v>333.33</v>
      </c>
    </row>
    <row r="561" spans="2:8" x14ac:dyDescent="0.2">
      <c r="B561" s="135" t="s">
        <v>1789</v>
      </c>
      <c r="C561" s="135" t="s">
        <v>339</v>
      </c>
      <c r="D561" s="135" t="s">
        <v>1852</v>
      </c>
      <c r="E561" s="135"/>
      <c r="F561" s="135" t="s">
        <v>5</v>
      </c>
      <c r="G561" s="135" t="s">
        <v>1652</v>
      </c>
      <c r="H561" s="131">
        <v>333.33</v>
      </c>
    </row>
    <row r="562" spans="2:8" x14ac:dyDescent="0.2">
      <c r="B562" s="135" t="s">
        <v>1789</v>
      </c>
      <c r="C562" s="135" t="s">
        <v>339</v>
      </c>
      <c r="D562" s="135" t="s">
        <v>1852</v>
      </c>
      <c r="E562" s="135"/>
      <c r="F562" s="135" t="s">
        <v>5</v>
      </c>
      <c r="G562" s="135" t="s">
        <v>1652</v>
      </c>
      <c r="H562" s="131">
        <v>333.33</v>
      </c>
    </row>
    <row r="563" spans="2:8" x14ac:dyDescent="0.2">
      <c r="B563" s="135" t="s">
        <v>1789</v>
      </c>
      <c r="C563" s="135" t="s">
        <v>339</v>
      </c>
      <c r="D563" s="135" t="s">
        <v>1852</v>
      </c>
      <c r="E563" s="135"/>
      <c r="F563" s="135" t="s">
        <v>5</v>
      </c>
      <c r="G563" s="135" t="s">
        <v>1652</v>
      </c>
      <c r="H563" s="131">
        <v>445</v>
      </c>
    </row>
    <row r="564" spans="2:8" x14ac:dyDescent="0.2">
      <c r="B564" s="135" t="s">
        <v>1789</v>
      </c>
      <c r="C564" s="135" t="s">
        <v>339</v>
      </c>
      <c r="D564" s="135" t="s">
        <v>1852</v>
      </c>
      <c r="E564" s="135"/>
      <c r="F564" s="135" t="s">
        <v>5</v>
      </c>
      <c r="G564" s="135" t="s">
        <v>1652</v>
      </c>
      <c r="H564" s="131">
        <v>475</v>
      </c>
    </row>
    <row r="565" spans="2:8" x14ac:dyDescent="0.2">
      <c r="B565" s="135" t="s">
        <v>1789</v>
      </c>
      <c r="C565" s="135" t="s">
        <v>339</v>
      </c>
      <c r="D565" s="135" t="s">
        <v>1852</v>
      </c>
      <c r="E565" s="135"/>
      <c r="F565" s="135" t="s">
        <v>5</v>
      </c>
      <c r="G565" s="135" t="s">
        <v>1652</v>
      </c>
      <c r="H565" s="131">
        <v>475</v>
      </c>
    </row>
    <row r="566" spans="2:8" x14ac:dyDescent="0.2">
      <c r="B566" s="135" t="s">
        <v>1789</v>
      </c>
      <c r="C566" s="135" t="s">
        <v>339</v>
      </c>
      <c r="D566" s="135" t="s">
        <v>1852</v>
      </c>
      <c r="E566" s="135"/>
      <c r="F566" s="135" t="s">
        <v>5</v>
      </c>
      <c r="G566" s="135" t="s">
        <v>1652</v>
      </c>
      <c r="H566" s="131">
        <v>516</v>
      </c>
    </row>
    <row r="567" spans="2:8" x14ac:dyDescent="0.2">
      <c r="B567" s="135" t="s">
        <v>1789</v>
      </c>
      <c r="C567" s="135" t="s">
        <v>339</v>
      </c>
      <c r="D567" s="135" t="s">
        <v>1852</v>
      </c>
      <c r="E567" s="135"/>
      <c r="F567" s="135" t="s">
        <v>5</v>
      </c>
      <c r="G567" s="135" t="s">
        <v>1652</v>
      </c>
      <c r="H567" s="131">
        <v>560</v>
      </c>
    </row>
    <row r="568" spans="2:8" x14ac:dyDescent="0.2">
      <c r="B568" s="135" t="s">
        <v>1854</v>
      </c>
      <c r="C568" s="135" t="s">
        <v>339</v>
      </c>
      <c r="D568" s="135" t="s">
        <v>1855</v>
      </c>
      <c r="E568" s="135"/>
      <c r="F568" s="135" t="s">
        <v>5</v>
      </c>
      <c r="G568" s="135" t="s">
        <v>1856</v>
      </c>
      <c r="H568" s="131">
        <v>950</v>
      </c>
    </row>
    <row r="569" spans="2:8" x14ac:dyDescent="0.2">
      <c r="B569" s="135" t="s">
        <v>1854</v>
      </c>
      <c r="C569" s="135" t="s">
        <v>339</v>
      </c>
      <c r="D569" s="135" t="s">
        <v>1855</v>
      </c>
      <c r="E569" s="135"/>
      <c r="F569" s="135" t="s">
        <v>5</v>
      </c>
      <c r="G569" s="135" t="s">
        <v>1856</v>
      </c>
      <c r="H569" s="131">
        <v>666.66</v>
      </c>
    </row>
    <row r="570" spans="2:8" x14ac:dyDescent="0.2">
      <c r="B570" s="135" t="s">
        <v>1854</v>
      </c>
      <c r="C570" s="135" t="s">
        <v>339</v>
      </c>
      <c r="D570" s="135" t="s">
        <v>1855</v>
      </c>
      <c r="E570" s="135"/>
      <c r="F570" s="135" t="s">
        <v>5</v>
      </c>
      <c r="G570" s="135" t="s">
        <v>1856</v>
      </c>
      <c r="H570" s="131">
        <v>666.66</v>
      </c>
    </row>
    <row r="571" spans="2:8" x14ac:dyDescent="0.2">
      <c r="B571" s="135" t="s">
        <v>1854</v>
      </c>
      <c r="C571" s="135" t="s">
        <v>339</v>
      </c>
      <c r="D571" s="135" t="s">
        <v>1855</v>
      </c>
      <c r="E571" s="135"/>
      <c r="F571" s="135" t="s">
        <v>5</v>
      </c>
      <c r="G571" s="135" t="s">
        <v>1856</v>
      </c>
      <c r="H571" s="131">
        <v>666.66</v>
      </c>
    </row>
    <row r="572" spans="2:8" x14ac:dyDescent="0.2">
      <c r="B572" s="135" t="s">
        <v>1854</v>
      </c>
      <c r="C572" s="135" t="s">
        <v>339</v>
      </c>
      <c r="D572" s="135" t="s">
        <v>1855</v>
      </c>
      <c r="E572" s="135"/>
      <c r="F572" s="135" t="s">
        <v>5</v>
      </c>
      <c r="G572" s="135" t="s">
        <v>1856</v>
      </c>
      <c r="H572" s="131">
        <v>666.66</v>
      </c>
    </row>
    <row r="573" spans="2:8" x14ac:dyDescent="0.2">
      <c r="B573" s="135" t="s">
        <v>1854</v>
      </c>
      <c r="C573" s="135" t="s">
        <v>339</v>
      </c>
      <c r="D573" s="135" t="s">
        <v>1855</v>
      </c>
      <c r="E573" s="135"/>
      <c r="F573" s="135" t="s">
        <v>5</v>
      </c>
      <c r="G573" s="135" t="s">
        <v>1856</v>
      </c>
      <c r="H573" s="131">
        <v>860</v>
      </c>
    </row>
    <row r="574" spans="2:8" x14ac:dyDescent="0.2">
      <c r="B574" s="135" t="s">
        <v>1854</v>
      </c>
      <c r="C574" s="135" t="s">
        <v>339</v>
      </c>
      <c r="D574" s="135" t="s">
        <v>1855</v>
      </c>
      <c r="E574" s="135"/>
      <c r="F574" s="135" t="s">
        <v>5</v>
      </c>
      <c r="G574" s="135" t="s">
        <v>1856</v>
      </c>
      <c r="H574" s="131">
        <v>860</v>
      </c>
    </row>
    <row r="575" spans="2:8" x14ac:dyDescent="0.2">
      <c r="B575" s="135" t="s">
        <v>1854</v>
      </c>
      <c r="C575" s="135" t="s">
        <v>339</v>
      </c>
      <c r="D575" s="135" t="s">
        <v>1855</v>
      </c>
      <c r="E575" s="135"/>
      <c r="F575" s="135" t="s">
        <v>5</v>
      </c>
      <c r="G575" s="135" t="s">
        <v>1856</v>
      </c>
      <c r="H575" s="131">
        <v>890</v>
      </c>
    </row>
    <row r="576" spans="2:8" x14ac:dyDescent="0.2">
      <c r="B576" s="135" t="s">
        <v>1854</v>
      </c>
      <c r="C576" s="135" t="s">
        <v>339</v>
      </c>
      <c r="D576" s="135" t="s">
        <v>1855</v>
      </c>
      <c r="E576" s="135"/>
      <c r="F576" s="135" t="s">
        <v>5</v>
      </c>
      <c r="G576" s="135" t="s">
        <v>1856</v>
      </c>
      <c r="H576" s="131">
        <v>930</v>
      </c>
    </row>
    <row r="577" spans="2:8" x14ac:dyDescent="0.2">
      <c r="B577" s="135" t="s">
        <v>1854</v>
      </c>
      <c r="C577" s="135" t="s">
        <v>339</v>
      </c>
      <c r="D577" s="135" t="s">
        <v>1855</v>
      </c>
      <c r="E577" s="135"/>
      <c r="F577" s="135" t="s">
        <v>5</v>
      </c>
      <c r="G577" s="135" t="s">
        <v>1856</v>
      </c>
      <c r="H577" s="131">
        <v>950</v>
      </c>
    </row>
    <row r="578" spans="2:8" x14ac:dyDescent="0.2">
      <c r="B578" s="135" t="s">
        <v>1854</v>
      </c>
      <c r="C578" s="135" t="s">
        <v>339</v>
      </c>
      <c r="D578" s="135" t="s">
        <v>1855</v>
      </c>
      <c r="E578" s="135"/>
      <c r="F578" s="135" t="s">
        <v>5</v>
      </c>
      <c r="G578" s="135" t="s">
        <v>1856</v>
      </c>
      <c r="H578" s="131">
        <v>1120</v>
      </c>
    </row>
    <row r="579" spans="2:8" x14ac:dyDescent="0.2">
      <c r="B579" s="135" t="s">
        <v>1830</v>
      </c>
      <c r="C579" s="135" t="s">
        <v>339</v>
      </c>
      <c r="D579" s="135" t="s">
        <v>1847</v>
      </c>
      <c r="E579" s="135"/>
      <c r="F579" s="135" t="s">
        <v>5</v>
      </c>
      <c r="G579" s="135"/>
      <c r="H579" s="131">
        <v>930</v>
      </c>
    </row>
    <row r="580" spans="2:8" x14ac:dyDescent="0.2">
      <c r="B580" s="135" t="s">
        <v>1830</v>
      </c>
      <c r="C580" s="135" t="s">
        <v>339</v>
      </c>
      <c r="D580" s="135" t="s">
        <v>1847</v>
      </c>
      <c r="E580" s="135"/>
      <c r="F580" s="135" t="s">
        <v>5</v>
      </c>
      <c r="G580" s="135"/>
      <c r="H580" s="131">
        <v>890</v>
      </c>
    </row>
    <row r="581" spans="2:8" x14ac:dyDescent="0.2">
      <c r="B581" s="135" t="s">
        <v>1830</v>
      </c>
      <c r="C581" s="135" t="s">
        <v>339</v>
      </c>
      <c r="D581" s="135" t="s">
        <v>1847</v>
      </c>
      <c r="E581" s="135"/>
      <c r="F581" s="135" t="s">
        <v>5</v>
      </c>
      <c r="G581" s="135"/>
      <c r="H581" s="131">
        <v>866.66</v>
      </c>
    </row>
    <row r="582" spans="2:8" x14ac:dyDescent="0.2">
      <c r="B582" s="135" t="s">
        <v>1830</v>
      </c>
      <c r="C582" s="135" t="s">
        <v>339</v>
      </c>
      <c r="D582" s="135" t="s">
        <v>1847</v>
      </c>
      <c r="E582" s="135"/>
      <c r="F582" s="135" t="s">
        <v>5</v>
      </c>
      <c r="G582" s="135"/>
      <c r="H582" s="131">
        <v>860</v>
      </c>
    </row>
    <row r="583" spans="2:8" x14ac:dyDescent="0.2">
      <c r="B583" s="135" t="s">
        <v>1830</v>
      </c>
      <c r="C583" s="135" t="s">
        <v>339</v>
      </c>
      <c r="D583" s="135" t="s">
        <v>1847</v>
      </c>
      <c r="E583" s="135"/>
      <c r="F583" s="135" t="s">
        <v>5</v>
      </c>
      <c r="G583" s="135"/>
      <c r="H583" s="131">
        <v>860</v>
      </c>
    </row>
    <row r="584" spans="2:8" x14ac:dyDescent="0.2">
      <c r="B584" s="135" t="s">
        <v>1830</v>
      </c>
      <c r="C584" s="135" t="s">
        <v>339</v>
      </c>
      <c r="D584" s="135" t="s">
        <v>1847</v>
      </c>
      <c r="E584" s="135"/>
      <c r="F584" s="135" t="s">
        <v>5</v>
      </c>
      <c r="G584" s="135"/>
      <c r="H584" s="131">
        <v>666.66</v>
      </c>
    </row>
    <row r="585" spans="2:8" x14ac:dyDescent="0.2">
      <c r="B585" s="135" t="s">
        <v>1830</v>
      </c>
      <c r="C585" s="135" t="s">
        <v>339</v>
      </c>
      <c r="D585" s="135" t="s">
        <v>1847</v>
      </c>
      <c r="E585" s="135"/>
      <c r="F585" s="135" t="s">
        <v>5</v>
      </c>
      <c r="G585" s="135"/>
      <c r="H585" s="131">
        <v>666.86</v>
      </c>
    </row>
    <row r="586" spans="2:8" x14ac:dyDescent="0.2">
      <c r="B586" s="135" t="s">
        <v>1830</v>
      </c>
      <c r="C586" s="135" t="s">
        <v>339</v>
      </c>
      <c r="D586" s="135" t="s">
        <v>1847</v>
      </c>
      <c r="E586" s="135"/>
      <c r="F586" s="135" t="s">
        <v>5</v>
      </c>
      <c r="G586" s="135"/>
      <c r="H586" s="131">
        <v>199.99</v>
      </c>
    </row>
    <row r="587" spans="2:8" x14ac:dyDescent="0.2">
      <c r="B587" s="135" t="s">
        <v>1830</v>
      </c>
      <c r="C587" s="135" t="s">
        <v>339</v>
      </c>
      <c r="D587" s="135" t="s">
        <v>1847</v>
      </c>
      <c r="E587" s="135"/>
      <c r="F587" s="135" t="s">
        <v>5</v>
      </c>
      <c r="G587" s="135"/>
      <c r="H587" s="131">
        <v>950</v>
      </c>
    </row>
    <row r="588" spans="2:8" x14ac:dyDescent="0.2">
      <c r="B588" s="135" t="s">
        <v>1830</v>
      </c>
      <c r="C588" s="135" t="s">
        <v>339</v>
      </c>
      <c r="D588" s="135" t="s">
        <v>1847</v>
      </c>
      <c r="E588" s="135"/>
      <c r="F588" s="135" t="s">
        <v>5</v>
      </c>
      <c r="G588" s="135"/>
      <c r="H588" s="131">
        <v>950</v>
      </c>
    </row>
    <row r="589" spans="2:8" x14ac:dyDescent="0.2">
      <c r="B589" s="135" t="s">
        <v>2097</v>
      </c>
      <c r="C589" s="135" t="s">
        <v>339</v>
      </c>
      <c r="D589" s="135" t="s">
        <v>2099</v>
      </c>
      <c r="E589" s="135"/>
      <c r="F589" s="135" t="s">
        <v>5</v>
      </c>
      <c r="G589" s="135" t="s">
        <v>2100</v>
      </c>
      <c r="H589" s="131">
        <v>666.66</v>
      </c>
    </row>
    <row r="590" spans="2:8" x14ac:dyDescent="0.2">
      <c r="B590" s="135" t="s">
        <v>2097</v>
      </c>
      <c r="C590" s="135" t="s">
        <v>339</v>
      </c>
      <c r="D590" s="135" t="s">
        <v>2099</v>
      </c>
      <c r="E590" s="135"/>
      <c r="F590" s="135" t="s">
        <v>5</v>
      </c>
      <c r="G590" s="135" t="s">
        <v>2100</v>
      </c>
      <c r="H590" s="131">
        <v>950</v>
      </c>
    </row>
    <row r="591" spans="2:8" x14ac:dyDescent="0.2">
      <c r="B591" s="135" t="s">
        <v>2097</v>
      </c>
      <c r="C591" s="135" t="s">
        <v>339</v>
      </c>
      <c r="D591" s="135" t="s">
        <v>2099</v>
      </c>
      <c r="E591" s="135"/>
      <c r="F591" s="135" t="s">
        <v>5</v>
      </c>
      <c r="G591" s="135" t="s">
        <v>2100</v>
      </c>
      <c r="H591" s="131">
        <v>950</v>
      </c>
    </row>
    <row r="592" spans="2:8" x14ac:dyDescent="0.2">
      <c r="B592" s="135" t="s">
        <v>2097</v>
      </c>
      <c r="C592" s="135" t="s">
        <v>339</v>
      </c>
      <c r="D592" s="135" t="s">
        <v>2099</v>
      </c>
      <c r="E592" s="135"/>
      <c r="F592" s="135" t="s">
        <v>5</v>
      </c>
      <c r="G592" s="135" t="s">
        <v>2100</v>
      </c>
      <c r="H592" s="131">
        <v>930</v>
      </c>
    </row>
    <row r="593" spans="2:8" x14ac:dyDescent="0.2">
      <c r="B593" s="135" t="s">
        <v>2097</v>
      </c>
      <c r="C593" s="135" t="s">
        <v>339</v>
      </c>
      <c r="D593" s="135" t="s">
        <v>2099</v>
      </c>
      <c r="E593" s="135"/>
      <c r="F593" s="135" t="s">
        <v>5</v>
      </c>
      <c r="G593" s="135" t="s">
        <v>2100</v>
      </c>
      <c r="H593" s="131">
        <v>890</v>
      </c>
    </row>
    <row r="594" spans="2:8" x14ac:dyDescent="0.2">
      <c r="B594" s="135" t="s">
        <v>2097</v>
      </c>
      <c r="C594" s="135" t="s">
        <v>339</v>
      </c>
      <c r="D594" s="135" t="s">
        <v>2099</v>
      </c>
      <c r="E594" s="135"/>
      <c r="F594" s="135" t="s">
        <v>5</v>
      </c>
      <c r="G594" s="135" t="s">
        <v>2100</v>
      </c>
      <c r="H594" s="131">
        <v>860</v>
      </c>
    </row>
    <row r="595" spans="2:8" x14ac:dyDescent="0.2">
      <c r="B595" s="135" t="s">
        <v>2097</v>
      </c>
      <c r="C595" s="135" t="s">
        <v>339</v>
      </c>
      <c r="D595" s="135" t="s">
        <v>2099</v>
      </c>
      <c r="E595" s="135"/>
      <c r="F595" s="135" t="s">
        <v>5</v>
      </c>
      <c r="G595" s="135" t="s">
        <v>2100</v>
      </c>
      <c r="H595" s="131">
        <v>860</v>
      </c>
    </row>
    <row r="596" spans="2:8" x14ac:dyDescent="0.2">
      <c r="B596" s="135" t="s">
        <v>2097</v>
      </c>
      <c r="C596" s="135" t="s">
        <v>339</v>
      </c>
      <c r="D596" s="135" t="s">
        <v>2099</v>
      </c>
      <c r="E596" s="135"/>
      <c r="F596" s="135" t="s">
        <v>5</v>
      </c>
      <c r="G596" s="135" t="s">
        <v>2100</v>
      </c>
      <c r="H596" s="131">
        <v>666.66</v>
      </c>
    </row>
    <row r="597" spans="2:8" x14ac:dyDescent="0.2">
      <c r="B597" s="135" t="s">
        <v>2097</v>
      </c>
      <c r="C597" s="135" t="s">
        <v>339</v>
      </c>
      <c r="D597" s="135" t="s">
        <v>2099</v>
      </c>
      <c r="E597" s="135"/>
      <c r="F597" s="135" t="s">
        <v>5</v>
      </c>
      <c r="G597" s="135" t="s">
        <v>2100</v>
      </c>
      <c r="H597" s="131">
        <v>666.66</v>
      </c>
    </row>
    <row r="598" spans="2:8" x14ac:dyDescent="0.2">
      <c r="B598" s="135" t="s">
        <v>2097</v>
      </c>
      <c r="C598" s="135" t="s">
        <v>339</v>
      </c>
      <c r="D598" s="135" t="s">
        <v>2099</v>
      </c>
      <c r="E598" s="135"/>
      <c r="F598" s="135" t="s">
        <v>5</v>
      </c>
      <c r="G598" s="135" t="s">
        <v>2100</v>
      </c>
      <c r="H598" s="131">
        <v>199.99</v>
      </c>
    </row>
    <row r="599" spans="2:8" x14ac:dyDescent="0.2">
      <c r="B599" s="135" t="s">
        <v>2097</v>
      </c>
      <c r="C599" s="135" t="s">
        <v>339</v>
      </c>
      <c r="D599" s="135" t="s">
        <v>2098</v>
      </c>
      <c r="E599" s="135"/>
      <c r="F599" s="135" t="s">
        <v>5</v>
      </c>
      <c r="G599" s="135"/>
      <c r="H599" s="131">
        <v>-199.99</v>
      </c>
    </row>
    <row r="600" spans="2:8" x14ac:dyDescent="0.2">
      <c r="B600" s="135" t="s">
        <v>2097</v>
      </c>
      <c r="C600" s="135" t="s">
        <v>339</v>
      </c>
      <c r="D600" s="135" t="s">
        <v>2098</v>
      </c>
      <c r="E600" s="135"/>
      <c r="F600" s="135" t="s">
        <v>5</v>
      </c>
      <c r="G600" s="135"/>
      <c r="H600" s="131">
        <v>-666.66</v>
      </c>
    </row>
    <row r="601" spans="2:8" x14ac:dyDescent="0.2">
      <c r="B601" s="135" t="s">
        <v>2097</v>
      </c>
      <c r="C601" s="135" t="s">
        <v>339</v>
      </c>
      <c r="D601" s="135" t="s">
        <v>2098</v>
      </c>
      <c r="E601" s="135"/>
      <c r="F601" s="135" t="s">
        <v>5</v>
      </c>
      <c r="G601" s="135"/>
      <c r="H601" s="131">
        <v>-666.86</v>
      </c>
    </row>
    <row r="602" spans="2:8" x14ac:dyDescent="0.2">
      <c r="B602" s="135" t="s">
        <v>2097</v>
      </c>
      <c r="C602" s="135" t="s">
        <v>339</v>
      </c>
      <c r="D602" s="135" t="s">
        <v>2098</v>
      </c>
      <c r="E602" s="135"/>
      <c r="F602" s="135" t="s">
        <v>5</v>
      </c>
      <c r="G602" s="135"/>
      <c r="H602" s="131">
        <v>-860</v>
      </c>
    </row>
    <row r="603" spans="2:8" x14ac:dyDescent="0.2">
      <c r="B603" s="135" t="s">
        <v>2097</v>
      </c>
      <c r="C603" s="135" t="s">
        <v>339</v>
      </c>
      <c r="D603" s="135" t="s">
        <v>2098</v>
      </c>
      <c r="E603" s="135"/>
      <c r="F603" s="135" t="s">
        <v>5</v>
      </c>
      <c r="G603" s="135"/>
      <c r="H603" s="131">
        <v>-860</v>
      </c>
    </row>
    <row r="604" spans="2:8" x14ac:dyDescent="0.2">
      <c r="B604" s="135" t="s">
        <v>2097</v>
      </c>
      <c r="C604" s="135" t="s">
        <v>339</v>
      </c>
      <c r="D604" s="135" t="s">
        <v>2098</v>
      </c>
      <c r="E604" s="135"/>
      <c r="F604" s="135" t="s">
        <v>5</v>
      </c>
      <c r="G604" s="135"/>
      <c r="H604" s="131">
        <v>-866.66</v>
      </c>
    </row>
    <row r="605" spans="2:8" x14ac:dyDescent="0.2">
      <c r="B605" s="135" t="s">
        <v>2097</v>
      </c>
      <c r="C605" s="135" t="s">
        <v>339</v>
      </c>
      <c r="D605" s="135" t="s">
        <v>2098</v>
      </c>
      <c r="E605" s="135"/>
      <c r="F605" s="135" t="s">
        <v>5</v>
      </c>
      <c r="G605" s="135"/>
      <c r="H605" s="131">
        <v>-890</v>
      </c>
    </row>
    <row r="606" spans="2:8" x14ac:dyDescent="0.2">
      <c r="B606" s="135" t="s">
        <v>2097</v>
      </c>
      <c r="C606" s="135" t="s">
        <v>339</v>
      </c>
      <c r="D606" s="135" t="s">
        <v>2098</v>
      </c>
      <c r="E606" s="135"/>
      <c r="F606" s="135" t="s">
        <v>5</v>
      </c>
      <c r="G606" s="135"/>
      <c r="H606" s="131">
        <v>-930</v>
      </c>
    </row>
    <row r="607" spans="2:8" x14ac:dyDescent="0.2">
      <c r="B607" s="135" t="s">
        <v>2097</v>
      </c>
      <c r="C607" s="135" t="s">
        <v>339</v>
      </c>
      <c r="D607" s="135" t="s">
        <v>2098</v>
      </c>
      <c r="E607" s="135"/>
      <c r="F607" s="135" t="s">
        <v>5</v>
      </c>
      <c r="G607" s="135"/>
      <c r="H607" s="131">
        <v>-950</v>
      </c>
    </row>
    <row r="608" spans="2:8" x14ac:dyDescent="0.2">
      <c r="B608" s="135" t="s">
        <v>2097</v>
      </c>
      <c r="C608" s="135" t="s">
        <v>339</v>
      </c>
      <c r="D608" s="135" t="s">
        <v>2098</v>
      </c>
      <c r="E608" s="135"/>
      <c r="F608" s="135" t="s">
        <v>5</v>
      </c>
      <c r="G608" s="135"/>
      <c r="H608" s="131">
        <v>-950</v>
      </c>
    </row>
    <row r="609" spans="1:8" x14ac:dyDescent="0.2">
      <c r="B609" s="135" t="s">
        <v>2101</v>
      </c>
      <c r="C609" s="135" t="s">
        <v>339</v>
      </c>
      <c r="D609" s="135" t="s">
        <v>2102</v>
      </c>
      <c r="E609" s="135"/>
      <c r="F609" s="135" t="s">
        <v>5</v>
      </c>
      <c r="G609" s="135" t="s">
        <v>2103</v>
      </c>
      <c r="H609" s="131">
        <v>450</v>
      </c>
    </row>
    <row r="610" spans="1:8" x14ac:dyDescent="0.2">
      <c r="B610" s="135" t="s">
        <v>2101</v>
      </c>
      <c r="C610" s="135" t="s">
        <v>339</v>
      </c>
      <c r="D610" s="135" t="s">
        <v>2102</v>
      </c>
      <c r="E610" s="135"/>
      <c r="F610" s="135" t="s">
        <v>5</v>
      </c>
      <c r="G610" s="135" t="s">
        <v>2103</v>
      </c>
      <c r="H610" s="136"/>
    </row>
    <row r="611" spans="1:8" x14ac:dyDescent="0.2">
      <c r="B611" s="135" t="s">
        <v>2101</v>
      </c>
      <c r="C611" s="135" t="s">
        <v>339</v>
      </c>
      <c r="D611" s="135" t="s">
        <v>2102</v>
      </c>
      <c r="E611" s="135"/>
      <c r="F611" s="135" t="s">
        <v>5</v>
      </c>
      <c r="G611" s="135" t="s">
        <v>2103</v>
      </c>
      <c r="H611" s="131">
        <v>950</v>
      </c>
    </row>
    <row r="612" spans="1:8" x14ac:dyDescent="0.2">
      <c r="B612" s="135" t="s">
        <v>2101</v>
      </c>
      <c r="C612" s="135" t="s">
        <v>339</v>
      </c>
      <c r="D612" s="135" t="s">
        <v>2102</v>
      </c>
      <c r="E612" s="135"/>
      <c r="F612" s="135" t="s">
        <v>5</v>
      </c>
      <c r="G612" s="135" t="s">
        <v>2103</v>
      </c>
      <c r="H612" s="131">
        <v>930</v>
      </c>
    </row>
    <row r="613" spans="1:8" x14ac:dyDescent="0.2">
      <c r="B613" s="135" t="s">
        <v>2101</v>
      </c>
      <c r="C613" s="135" t="s">
        <v>339</v>
      </c>
      <c r="D613" s="135" t="s">
        <v>2102</v>
      </c>
      <c r="E613" s="135"/>
      <c r="F613" s="135" t="s">
        <v>5</v>
      </c>
      <c r="G613" s="135" t="s">
        <v>2103</v>
      </c>
      <c r="H613" s="131">
        <v>890</v>
      </c>
    </row>
    <row r="614" spans="1:8" x14ac:dyDescent="0.2">
      <c r="B614" s="135" t="s">
        <v>2101</v>
      </c>
      <c r="C614" s="135" t="s">
        <v>339</v>
      </c>
      <c r="D614" s="135" t="s">
        <v>2102</v>
      </c>
      <c r="E614" s="135"/>
      <c r="F614" s="135" t="s">
        <v>5</v>
      </c>
      <c r="G614" s="135" t="s">
        <v>2103</v>
      </c>
      <c r="H614" s="131">
        <v>475</v>
      </c>
    </row>
    <row r="615" spans="1:8" x14ac:dyDescent="0.2">
      <c r="B615" s="135" t="s">
        <v>2101</v>
      </c>
      <c r="C615" s="135" t="s">
        <v>339</v>
      </c>
      <c r="D615" s="135" t="s">
        <v>2102</v>
      </c>
      <c r="E615" s="135"/>
      <c r="F615" s="135" t="s">
        <v>5</v>
      </c>
      <c r="G615" s="135" t="s">
        <v>1151</v>
      </c>
      <c r="H615" s="131">
        <v>-207.51</v>
      </c>
    </row>
    <row r="616" spans="1:8" x14ac:dyDescent="0.2">
      <c r="B616" s="135" t="s">
        <v>2101</v>
      </c>
      <c r="C616" s="135" t="s">
        <v>339</v>
      </c>
      <c r="D616" s="135" t="s">
        <v>2102</v>
      </c>
      <c r="E616" s="135"/>
      <c r="F616" s="135" t="s">
        <v>5</v>
      </c>
      <c r="G616" s="135" t="s">
        <v>2103</v>
      </c>
      <c r="H616" s="131">
        <v>333.33</v>
      </c>
    </row>
    <row r="617" spans="1:8" x14ac:dyDescent="0.2">
      <c r="B617" s="135" t="s">
        <v>2101</v>
      </c>
      <c r="C617" s="135" t="s">
        <v>339</v>
      </c>
      <c r="D617" s="135" t="s">
        <v>2102</v>
      </c>
      <c r="E617" s="135"/>
      <c r="F617" s="135" t="s">
        <v>5</v>
      </c>
      <c r="G617" s="135" t="s">
        <v>2107</v>
      </c>
      <c r="H617" s="131">
        <v>333.33</v>
      </c>
    </row>
    <row r="618" spans="1:8" x14ac:dyDescent="0.2">
      <c r="B618" s="135" t="s">
        <v>2101</v>
      </c>
      <c r="C618" s="135" t="s">
        <v>339</v>
      </c>
      <c r="D618" s="135" t="s">
        <v>2102</v>
      </c>
      <c r="E618" s="135"/>
      <c r="F618" s="135" t="s">
        <v>5</v>
      </c>
      <c r="G618" s="135" t="s">
        <v>2103</v>
      </c>
      <c r="H618" s="131">
        <v>333.33</v>
      </c>
    </row>
    <row r="619" spans="1:8" x14ac:dyDescent="0.2">
      <c r="B619" s="135" t="s">
        <v>2101</v>
      </c>
      <c r="C619" s="135" t="s">
        <v>339</v>
      </c>
      <c r="D619" s="135" t="s">
        <v>2102</v>
      </c>
      <c r="E619" s="135"/>
      <c r="F619" s="135" t="s">
        <v>5</v>
      </c>
      <c r="G619" s="135" t="s">
        <v>2103</v>
      </c>
      <c r="H619" s="131">
        <v>430</v>
      </c>
    </row>
    <row r="620" spans="1:8" x14ac:dyDescent="0.2">
      <c r="B620" s="135" t="s">
        <v>2101</v>
      </c>
      <c r="C620" s="135" t="s">
        <v>339</v>
      </c>
      <c r="D620" s="135" t="s">
        <v>2102</v>
      </c>
      <c r="E620" s="135"/>
      <c r="F620" s="135" t="s">
        <v>5</v>
      </c>
      <c r="G620" s="135" t="s">
        <v>2103</v>
      </c>
      <c r="H620" s="131">
        <v>430</v>
      </c>
    </row>
    <row r="621" spans="1:8" x14ac:dyDescent="0.2">
      <c r="B621" s="135" t="s">
        <v>2101</v>
      </c>
      <c r="C621" s="135" t="s">
        <v>339</v>
      </c>
      <c r="D621" s="135" t="s">
        <v>2102</v>
      </c>
      <c r="E621" s="135"/>
      <c r="F621" s="135" t="s">
        <v>5</v>
      </c>
      <c r="G621" s="135" t="s">
        <v>2103</v>
      </c>
      <c r="H621" s="131">
        <v>430</v>
      </c>
    </row>
    <row r="622" spans="1:8" x14ac:dyDescent="0.2">
      <c r="B622" s="135" t="s">
        <v>2254</v>
      </c>
      <c r="C622" s="135" t="s">
        <v>339</v>
      </c>
      <c r="D622" s="135" t="s">
        <v>2255</v>
      </c>
      <c r="E622" s="135"/>
      <c r="F622" s="135" t="s">
        <v>5</v>
      </c>
      <c r="G622" s="135" t="s">
        <v>2256</v>
      </c>
      <c r="H622" s="131">
        <v>480</v>
      </c>
    </row>
    <row r="623" spans="1:8" x14ac:dyDescent="0.2">
      <c r="A623" s="129" t="s">
        <v>1863</v>
      </c>
      <c r="H623" s="132">
        <v>28295.66</v>
      </c>
    </row>
    <row r="624" spans="1:8" x14ac:dyDescent="0.2">
      <c r="A624" s="129" t="s">
        <v>1864</v>
      </c>
    </row>
    <row r="625" spans="1:8" x14ac:dyDescent="0.2">
      <c r="B625" s="135" t="s">
        <v>1624</v>
      </c>
      <c r="C625" s="135" t="s">
        <v>339</v>
      </c>
      <c r="D625" s="135" t="s">
        <v>1651</v>
      </c>
      <c r="E625" s="135"/>
      <c r="F625" s="135" t="s">
        <v>5</v>
      </c>
      <c r="G625" s="135" t="s">
        <v>1652</v>
      </c>
      <c r="H625" s="131">
        <v>430</v>
      </c>
    </row>
    <row r="626" spans="1:8" x14ac:dyDescent="0.2">
      <c r="B626" s="135" t="s">
        <v>1789</v>
      </c>
      <c r="C626" s="135" t="s">
        <v>339</v>
      </c>
      <c r="D626" s="135" t="s">
        <v>1852</v>
      </c>
      <c r="E626" s="135"/>
      <c r="F626" s="135" t="s">
        <v>5</v>
      </c>
      <c r="G626" s="135" t="s">
        <v>1652</v>
      </c>
      <c r="H626" s="131">
        <v>430</v>
      </c>
    </row>
    <row r="627" spans="1:8" x14ac:dyDescent="0.2">
      <c r="B627" s="135" t="s">
        <v>1789</v>
      </c>
      <c r="C627" s="135" t="s">
        <v>339</v>
      </c>
      <c r="D627" s="135" t="s">
        <v>1853</v>
      </c>
      <c r="E627" s="135"/>
      <c r="F627" s="135" t="s">
        <v>5</v>
      </c>
      <c r="G627" s="135" t="s">
        <v>1652</v>
      </c>
      <c r="H627" s="131">
        <v>-430</v>
      </c>
    </row>
    <row r="628" spans="1:8" x14ac:dyDescent="0.2">
      <c r="B628" s="135" t="s">
        <v>1854</v>
      </c>
      <c r="C628" s="135" t="s">
        <v>339</v>
      </c>
      <c r="D628" s="135" t="s">
        <v>1855</v>
      </c>
      <c r="E628" s="135"/>
      <c r="F628" s="135" t="s">
        <v>5</v>
      </c>
      <c r="G628" s="135" t="s">
        <v>1856</v>
      </c>
      <c r="H628" s="131">
        <v>0</v>
      </c>
    </row>
    <row r="629" spans="1:8" x14ac:dyDescent="0.2">
      <c r="B629" s="135" t="s">
        <v>1830</v>
      </c>
      <c r="C629" s="135" t="s">
        <v>339</v>
      </c>
      <c r="D629" s="135" t="s">
        <v>1847</v>
      </c>
      <c r="E629" s="135"/>
      <c r="F629" s="135" t="s">
        <v>5</v>
      </c>
      <c r="G629" s="135"/>
      <c r="H629" s="131">
        <v>501.66</v>
      </c>
    </row>
    <row r="630" spans="1:8" x14ac:dyDescent="0.2">
      <c r="B630" s="135" t="s">
        <v>2097</v>
      </c>
      <c r="C630" s="135" t="s">
        <v>339</v>
      </c>
      <c r="D630" s="135" t="s">
        <v>2099</v>
      </c>
      <c r="E630" s="135"/>
      <c r="F630" s="135" t="s">
        <v>5</v>
      </c>
      <c r="G630" s="135" t="s">
        <v>2100</v>
      </c>
      <c r="H630" s="131">
        <v>501.66</v>
      </c>
    </row>
    <row r="631" spans="1:8" x14ac:dyDescent="0.2">
      <c r="B631" s="135" t="s">
        <v>2097</v>
      </c>
      <c r="C631" s="135" t="s">
        <v>339</v>
      </c>
      <c r="D631" s="135" t="s">
        <v>2098</v>
      </c>
      <c r="E631" s="135"/>
      <c r="F631" s="135" t="s">
        <v>5</v>
      </c>
      <c r="G631" s="135"/>
      <c r="H631" s="131">
        <v>-501.66</v>
      </c>
    </row>
    <row r="632" spans="1:8" x14ac:dyDescent="0.2">
      <c r="A632" s="129" t="s">
        <v>1865</v>
      </c>
      <c r="H632" s="132">
        <v>931.66</v>
      </c>
    </row>
    <row r="633" spans="1:8" x14ac:dyDescent="0.2">
      <c r="A633" s="129" t="s">
        <v>2108</v>
      </c>
    </row>
    <row r="634" spans="1:8" x14ac:dyDescent="0.2">
      <c r="B634" s="135" t="s">
        <v>2101</v>
      </c>
      <c r="C634" s="135" t="s">
        <v>339</v>
      </c>
      <c r="D634" s="135" t="s">
        <v>2102</v>
      </c>
      <c r="E634" s="135"/>
      <c r="F634" s="135" t="s">
        <v>5</v>
      </c>
      <c r="G634" s="135" t="s">
        <v>2103</v>
      </c>
      <c r="H634" s="131">
        <v>1200</v>
      </c>
    </row>
    <row r="635" spans="1:8" x14ac:dyDescent="0.2">
      <c r="A635" s="129" t="s">
        <v>2109</v>
      </c>
      <c r="H635" s="132">
        <v>1200</v>
      </c>
    </row>
    <row r="636" spans="1:8" x14ac:dyDescent="0.2">
      <c r="A636" s="129" t="s">
        <v>1866</v>
      </c>
    </row>
    <row r="637" spans="1:8" x14ac:dyDescent="0.2">
      <c r="B637" s="135" t="s">
        <v>1854</v>
      </c>
      <c r="C637" s="135" t="s">
        <v>339</v>
      </c>
      <c r="D637" s="135" t="s">
        <v>1855</v>
      </c>
      <c r="E637" s="135"/>
      <c r="F637" s="135" t="s">
        <v>5</v>
      </c>
      <c r="G637" s="135" t="s">
        <v>1856</v>
      </c>
      <c r="H637" s="131">
        <v>2500</v>
      </c>
    </row>
    <row r="638" spans="1:8" x14ac:dyDescent="0.2">
      <c r="B638" s="135" t="s">
        <v>1854</v>
      </c>
      <c r="C638" s="135" t="s">
        <v>339</v>
      </c>
      <c r="D638" s="135" t="s">
        <v>1855</v>
      </c>
      <c r="E638" s="135"/>
      <c r="F638" s="135" t="s">
        <v>5</v>
      </c>
      <c r="G638" s="135" t="s">
        <v>1856</v>
      </c>
      <c r="H638" s="131">
        <v>2400</v>
      </c>
    </row>
    <row r="639" spans="1:8" x14ac:dyDescent="0.2">
      <c r="B639" s="135" t="s">
        <v>1830</v>
      </c>
      <c r="C639" s="135" t="s">
        <v>339</v>
      </c>
      <c r="D639" s="135" t="s">
        <v>1847</v>
      </c>
      <c r="E639" s="135"/>
      <c r="F639" s="135" t="s">
        <v>5</v>
      </c>
      <c r="G639" s="135"/>
      <c r="H639" s="131">
        <v>2500</v>
      </c>
    </row>
    <row r="640" spans="1:8" x14ac:dyDescent="0.2">
      <c r="B640" s="135" t="s">
        <v>2097</v>
      </c>
      <c r="C640" s="135" t="s">
        <v>339</v>
      </c>
      <c r="D640" s="135" t="s">
        <v>2099</v>
      </c>
      <c r="E640" s="135"/>
      <c r="F640" s="135" t="s">
        <v>5</v>
      </c>
      <c r="G640" s="135" t="s">
        <v>2100</v>
      </c>
      <c r="H640" s="131">
        <v>2500</v>
      </c>
    </row>
    <row r="641" spans="1:8" x14ac:dyDescent="0.2">
      <c r="B641" s="135" t="s">
        <v>2097</v>
      </c>
      <c r="C641" s="135" t="s">
        <v>339</v>
      </c>
      <c r="D641" s="135" t="s">
        <v>2098</v>
      </c>
      <c r="E641" s="135"/>
      <c r="F641" s="135" t="s">
        <v>5</v>
      </c>
      <c r="G641" s="135"/>
      <c r="H641" s="131">
        <v>-2500</v>
      </c>
    </row>
    <row r="642" spans="1:8" x14ac:dyDescent="0.2">
      <c r="B642" s="135" t="s">
        <v>2101</v>
      </c>
      <c r="C642" s="135" t="s">
        <v>339</v>
      </c>
      <c r="D642" s="135" t="s">
        <v>2102</v>
      </c>
      <c r="E642" s="135"/>
      <c r="F642" s="135" t="s">
        <v>5</v>
      </c>
      <c r="G642" s="135" t="s">
        <v>2103</v>
      </c>
      <c r="H642" s="131">
        <v>1450</v>
      </c>
    </row>
    <row r="643" spans="1:8" x14ac:dyDescent="0.2">
      <c r="A643" s="129" t="s">
        <v>1867</v>
      </c>
      <c r="H643" s="132">
        <v>8850</v>
      </c>
    </row>
    <row r="644" spans="1:8" x14ac:dyDescent="0.2">
      <c r="A644" s="129" t="s">
        <v>1868</v>
      </c>
    </row>
    <row r="645" spans="1:8" x14ac:dyDescent="0.2">
      <c r="B645" s="135" t="s">
        <v>1854</v>
      </c>
      <c r="C645" s="135" t="s">
        <v>339</v>
      </c>
      <c r="D645" s="135" t="s">
        <v>1855</v>
      </c>
      <c r="E645" s="135"/>
      <c r="F645" s="135" t="s">
        <v>5</v>
      </c>
      <c r="G645" s="135" t="s">
        <v>1856</v>
      </c>
      <c r="H645" s="131">
        <v>2000</v>
      </c>
    </row>
    <row r="646" spans="1:8" x14ac:dyDescent="0.2">
      <c r="B646" s="135" t="s">
        <v>1830</v>
      </c>
      <c r="C646" s="135" t="s">
        <v>339</v>
      </c>
      <c r="D646" s="135" t="s">
        <v>1847</v>
      </c>
      <c r="E646" s="135"/>
      <c r="F646" s="135" t="s">
        <v>5</v>
      </c>
      <c r="G646" s="135"/>
      <c r="H646" s="131">
        <v>2000</v>
      </c>
    </row>
    <row r="647" spans="1:8" x14ac:dyDescent="0.2">
      <c r="B647" s="135" t="s">
        <v>2097</v>
      </c>
      <c r="C647" s="135" t="s">
        <v>339</v>
      </c>
      <c r="D647" s="135" t="s">
        <v>2098</v>
      </c>
      <c r="E647" s="135"/>
      <c r="F647" s="135" t="s">
        <v>5</v>
      </c>
      <c r="G647" s="135"/>
      <c r="H647" s="131">
        <v>-2000</v>
      </c>
    </row>
    <row r="648" spans="1:8" x14ac:dyDescent="0.2">
      <c r="B648" s="135" t="s">
        <v>2097</v>
      </c>
      <c r="C648" s="135" t="s">
        <v>339</v>
      </c>
      <c r="D648" s="135" t="s">
        <v>2099</v>
      </c>
      <c r="E648" s="135"/>
      <c r="F648" s="135" t="s">
        <v>5</v>
      </c>
      <c r="G648" s="135" t="s">
        <v>2100</v>
      </c>
      <c r="H648" s="131">
        <v>2000</v>
      </c>
    </row>
    <row r="649" spans="1:8" x14ac:dyDescent="0.2">
      <c r="B649" s="135" t="s">
        <v>2101</v>
      </c>
      <c r="C649" s="135" t="s">
        <v>339</v>
      </c>
      <c r="D649" s="135" t="s">
        <v>2102</v>
      </c>
      <c r="E649" s="135"/>
      <c r="F649" s="135" t="s">
        <v>5</v>
      </c>
      <c r="G649" s="135" t="s">
        <v>2103</v>
      </c>
      <c r="H649" s="131">
        <v>1000</v>
      </c>
    </row>
    <row r="650" spans="1:8" x14ac:dyDescent="0.2">
      <c r="A650" s="129" t="s">
        <v>1869</v>
      </c>
      <c r="H650" s="132">
        <v>5000</v>
      </c>
    </row>
    <row r="651" spans="1:8" ht="25" x14ac:dyDescent="0.2">
      <c r="A651" s="129" t="s">
        <v>1870</v>
      </c>
      <c r="H651" s="132">
        <v>98175.22</v>
      </c>
    </row>
    <row r="652" spans="1:8" x14ac:dyDescent="0.2">
      <c r="A652" s="129" t="s">
        <v>1871</v>
      </c>
    </row>
    <row r="653" spans="1:8" x14ac:dyDescent="0.2">
      <c r="A653" s="129" t="s">
        <v>1872</v>
      </c>
    </row>
    <row r="654" spans="1:8" x14ac:dyDescent="0.2">
      <c r="B654" s="135" t="s">
        <v>826</v>
      </c>
      <c r="C654" s="135" t="s">
        <v>339</v>
      </c>
      <c r="D654" s="135" t="s">
        <v>827</v>
      </c>
      <c r="E654" s="135"/>
      <c r="F654" s="135" t="s">
        <v>5</v>
      </c>
      <c r="G654" s="135" t="s">
        <v>828</v>
      </c>
      <c r="H654" s="131">
        <v>448.5</v>
      </c>
    </row>
    <row r="655" spans="1:8" x14ac:dyDescent="0.2">
      <c r="B655" s="135" t="s">
        <v>829</v>
      </c>
      <c r="C655" s="135" t="s">
        <v>339</v>
      </c>
      <c r="D655" s="135" t="s">
        <v>830</v>
      </c>
      <c r="E655" s="135"/>
      <c r="F655" s="135" t="s">
        <v>5</v>
      </c>
      <c r="G655" s="135" t="s">
        <v>831</v>
      </c>
      <c r="H655" s="131">
        <v>614.25</v>
      </c>
    </row>
    <row r="656" spans="1:8" x14ac:dyDescent="0.2">
      <c r="B656" s="135" t="s">
        <v>1015</v>
      </c>
      <c r="C656" s="135" t="s">
        <v>339</v>
      </c>
      <c r="D656" s="135" t="s">
        <v>1016</v>
      </c>
      <c r="E656" s="135"/>
      <c r="F656" s="135" t="s">
        <v>5</v>
      </c>
      <c r="G656" s="135" t="s">
        <v>1017</v>
      </c>
      <c r="H656" s="131">
        <v>243.75</v>
      </c>
    </row>
    <row r="657" spans="2:8" x14ac:dyDescent="0.2">
      <c r="B657" s="135" t="s">
        <v>972</v>
      </c>
      <c r="C657" s="135" t="s">
        <v>339</v>
      </c>
      <c r="D657" s="135" t="s">
        <v>1018</v>
      </c>
      <c r="E657" s="135"/>
      <c r="F657" s="135" t="s">
        <v>5</v>
      </c>
      <c r="G657" s="135" t="s">
        <v>1019</v>
      </c>
      <c r="H657" s="131">
        <v>429</v>
      </c>
    </row>
    <row r="658" spans="2:8" x14ac:dyDescent="0.2">
      <c r="B658" s="135" t="s">
        <v>1173</v>
      </c>
      <c r="C658" s="135" t="s">
        <v>339</v>
      </c>
      <c r="D658" s="135" t="s">
        <v>1174</v>
      </c>
      <c r="E658" s="135"/>
      <c r="F658" s="135" t="s">
        <v>5</v>
      </c>
      <c r="G658" s="135" t="s">
        <v>1175</v>
      </c>
      <c r="H658" s="131">
        <v>663</v>
      </c>
    </row>
    <row r="659" spans="2:8" x14ac:dyDescent="0.2">
      <c r="B659" s="135" t="s">
        <v>1176</v>
      </c>
      <c r="C659" s="135" t="s">
        <v>339</v>
      </c>
      <c r="D659" s="135" t="s">
        <v>1177</v>
      </c>
      <c r="E659" s="135"/>
      <c r="F659" s="135" t="s">
        <v>5</v>
      </c>
      <c r="G659" s="135" t="s">
        <v>1178</v>
      </c>
      <c r="H659" s="131">
        <v>594.75</v>
      </c>
    </row>
    <row r="660" spans="2:8" x14ac:dyDescent="0.2">
      <c r="B660" s="135" t="s">
        <v>1168</v>
      </c>
      <c r="C660" s="135" t="s">
        <v>339</v>
      </c>
      <c r="D660" s="135" t="s">
        <v>1360</v>
      </c>
      <c r="E660" s="135"/>
      <c r="F660" s="135" t="s">
        <v>5</v>
      </c>
      <c r="G660" s="135" t="s">
        <v>1361</v>
      </c>
      <c r="H660" s="131">
        <v>234</v>
      </c>
    </row>
    <row r="661" spans="2:8" x14ac:dyDescent="0.2">
      <c r="B661" s="135" t="s">
        <v>1362</v>
      </c>
      <c r="C661" s="135" t="s">
        <v>339</v>
      </c>
      <c r="D661" s="135" t="s">
        <v>1364</v>
      </c>
      <c r="E661" s="135"/>
      <c r="F661" s="135" t="s">
        <v>5</v>
      </c>
      <c r="G661" s="135" t="s">
        <v>1361</v>
      </c>
      <c r="H661" s="131">
        <v>-234</v>
      </c>
    </row>
    <row r="662" spans="2:8" x14ac:dyDescent="0.2">
      <c r="B662" s="135" t="s">
        <v>1362</v>
      </c>
      <c r="C662" s="135" t="s">
        <v>339</v>
      </c>
      <c r="D662" s="135" t="s">
        <v>1363</v>
      </c>
      <c r="E662" s="135"/>
      <c r="F662" s="135" t="s">
        <v>5</v>
      </c>
      <c r="G662" s="135" t="s">
        <v>1361</v>
      </c>
      <c r="H662" s="131">
        <v>468</v>
      </c>
    </row>
    <row r="663" spans="2:8" x14ac:dyDescent="0.2">
      <c r="B663" s="135" t="s">
        <v>1312</v>
      </c>
      <c r="C663" s="135" t="s">
        <v>339</v>
      </c>
      <c r="D663" s="135" t="s">
        <v>1365</v>
      </c>
      <c r="E663" s="135"/>
      <c r="F663" s="135" t="s">
        <v>5</v>
      </c>
      <c r="G663" s="135" t="s">
        <v>1366</v>
      </c>
      <c r="H663" s="131">
        <v>516.75</v>
      </c>
    </row>
    <row r="664" spans="2:8" x14ac:dyDescent="0.2">
      <c r="B664" s="135" t="s">
        <v>1542</v>
      </c>
      <c r="C664" s="135" t="s">
        <v>339</v>
      </c>
      <c r="D664" s="135" t="s">
        <v>1543</v>
      </c>
      <c r="E664" s="135"/>
      <c r="F664" s="135" t="s">
        <v>5</v>
      </c>
      <c r="G664" s="135" t="s">
        <v>1544</v>
      </c>
      <c r="H664" s="131">
        <v>643.5</v>
      </c>
    </row>
    <row r="665" spans="2:8" x14ac:dyDescent="0.2">
      <c r="B665" s="135" t="s">
        <v>1545</v>
      </c>
      <c r="C665" s="135" t="s">
        <v>339</v>
      </c>
      <c r="D665" s="135" t="s">
        <v>1546</v>
      </c>
      <c r="E665" s="135"/>
      <c r="F665" s="135" t="s">
        <v>5</v>
      </c>
      <c r="G665" s="135" t="s">
        <v>1547</v>
      </c>
      <c r="H665" s="131">
        <v>477.75</v>
      </c>
    </row>
    <row r="666" spans="2:8" x14ac:dyDescent="0.2">
      <c r="B666" s="135" t="s">
        <v>1548</v>
      </c>
      <c r="C666" s="135" t="s">
        <v>339</v>
      </c>
      <c r="D666" s="135" t="s">
        <v>1549</v>
      </c>
      <c r="E666" s="135"/>
      <c r="F666" s="135" t="s">
        <v>5</v>
      </c>
      <c r="G666" s="135" t="s">
        <v>1550</v>
      </c>
      <c r="H666" s="131">
        <v>663</v>
      </c>
    </row>
    <row r="667" spans="2:8" x14ac:dyDescent="0.2">
      <c r="B667" s="135" t="s">
        <v>1608</v>
      </c>
      <c r="C667" s="135" t="s">
        <v>339</v>
      </c>
      <c r="D667" s="135" t="s">
        <v>1655</v>
      </c>
      <c r="E667" s="135"/>
      <c r="F667" s="135" t="s">
        <v>5</v>
      </c>
      <c r="G667" s="135" t="s">
        <v>1550</v>
      </c>
      <c r="H667" s="131">
        <v>-663</v>
      </c>
    </row>
    <row r="668" spans="2:8" x14ac:dyDescent="0.2">
      <c r="B668" s="135" t="s">
        <v>1608</v>
      </c>
      <c r="C668" s="135" t="s">
        <v>339</v>
      </c>
      <c r="D668" s="135" t="s">
        <v>1656</v>
      </c>
      <c r="E668" s="135"/>
      <c r="F668" s="135" t="s">
        <v>5</v>
      </c>
      <c r="G668" s="135" t="s">
        <v>1550</v>
      </c>
      <c r="H668" s="131">
        <v>663</v>
      </c>
    </row>
    <row r="669" spans="2:8" x14ac:dyDescent="0.2">
      <c r="B669" s="135" t="s">
        <v>1643</v>
      </c>
      <c r="C669" s="135" t="s">
        <v>339</v>
      </c>
      <c r="D669" s="135" t="s">
        <v>1644</v>
      </c>
      <c r="E669" s="135"/>
      <c r="F669" s="135" t="s">
        <v>5</v>
      </c>
      <c r="G669" s="135" t="s">
        <v>1645</v>
      </c>
      <c r="H669" s="131">
        <v>565.5</v>
      </c>
    </row>
    <row r="670" spans="2:8" x14ac:dyDescent="0.2">
      <c r="B670" s="135" t="s">
        <v>1624</v>
      </c>
      <c r="C670" s="135" t="s">
        <v>339</v>
      </c>
      <c r="D670" s="135" t="s">
        <v>1651</v>
      </c>
      <c r="E670" s="135"/>
      <c r="F670" s="135" t="s">
        <v>5</v>
      </c>
      <c r="G670" s="135" t="s">
        <v>1652</v>
      </c>
      <c r="H670" s="131">
        <v>994.5</v>
      </c>
    </row>
    <row r="671" spans="2:8" x14ac:dyDescent="0.2">
      <c r="B671" s="135" t="s">
        <v>1789</v>
      </c>
      <c r="C671" s="135" t="s">
        <v>339</v>
      </c>
      <c r="D671" s="135" t="s">
        <v>1853</v>
      </c>
      <c r="E671" s="135"/>
      <c r="F671" s="135" t="s">
        <v>5</v>
      </c>
      <c r="G671" s="135" t="s">
        <v>1652</v>
      </c>
      <c r="H671" s="131">
        <v>-994.5</v>
      </c>
    </row>
    <row r="672" spans="2:8" x14ac:dyDescent="0.2">
      <c r="B672" s="135" t="s">
        <v>1789</v>
      </c>
      <c r="C672" s="135" t="s">
        <v>339</v>
      </c>
      <c r="D672" s="135" t="s">
        <v>1852</v>
      </c>
      <c r="E672" s="135"/>
      <c r="F672" s="135" t="s">
        <v>5</v>
      </c>
      <c r="G672" s="135" t="s">
        <v>1652</v>
      </c>
      <c r="H672" s="131">
        <v>994.5</v>
      </c>
    </row>
    <row r="673" spans="2:8" x14ac:dyDescent="0.2">
      <c r="B673" s="135" t="s">
        <v>1854</v>
      </c>
      <c r="C673" s="135" t="s">
        <v>339</v>
      </c>
      <c r="D673" s="135" t="s">
        <v>1855</v>
      </c>
      <c r="E673" s="135"/>
      <c r="F673" s="135" t="s">
        <v>5</v>
      </c>
      <c r="G673" s="135" t="s">
        <v>1856</v>
      </c>
      <c r="H673" s="131">
        <v>1452.75</v>
      </c>
    </row>
    <row r="674" spans="2:8" x14ac:dyDescent="0.2">
      <c r="B674" s="135" t="s">
        <v>1830</v>
      </c>
      <c r="C674" s="135" t="s">
        <v>339</v>
      </c>
      <c r="D674" s="135" t="s">
        <v>1847</v>
      </c>
      <c r="E674" s="135"/>
      <c r="F674" s="135" t="s">
        <v>5</v>
      </c>
      <c r="G674" s="135"/>
      <c r="H674" s="131">
        <v>1209</v>
      </c>
    </row>
    <row r="675" spans="2:8" x14ac:dyDescent="0.2">
      <c r="B675" s="135" t="s">
        <v>2097</v>
      </c>
      <c r="C675" s="135" t="s">
        <v>339</v>
      </c>
      <c r="D675" s="135" t="s">
        <v>2098</v>
      </c>
      <c r="E675" s="135"/>
      <c r="F675" s="135" t="s">
        <v>5</v>
      </c>
      <c r="G675" s="135"/>
      <c r="H675" s="131">
        <v>-1209</v>
      </c>
    </row>
    <row r="676" spans="2:8" x14ac:dyDescent="0.2">
      <c r="B676" s="135" t="s">
        <v>2097</v>
      </c>
      <c r="C676" s="135" t="s">
        <v>339</v>
      </c>
      <c r="D676" s="135" t="s">
        <v>2099</v>
      </c>
      <c r="E676" s="135"/>
      <c r="F676" s="135" t="s">
        <v>5</v>
      </c>
      <c r="G676" s="135" t="s">
        <v>2100</v>
      </c>
      <c r="H676" s="131">
        <v>1209</v>
      </c>
    </row>
    <row r="677" spans="2:8" x14ac:dyDescent="0.2">
      <c r="B677" s="135" t="s">
        <v>2101</v>
      </c>
      <c r="C677" s="135" t="s">
        <v>339</v>
      </c>
      <c r="D677" s="135" t="s">
        <v>2102</v>
      </c>
      <c r="E677" s="135"/>
      <c r="F677" s="135" t="s">
        <v>5</v>
      </c>
      <c r="G677" s="135" t="s">
        <v>2103</v>
      </c>
      <c r="H677" s="131">
        <v>760.5</v>
      </c>
    </row>
    <row r="678" spans="2:8" x14ac:dyDescent="0.2">
      <c r="B678" s="135" t="s">
        <v>2104</v>
      </c>
      <c r="C678" s="135" t="s">
        <v>339</v>
      </c>
      <c r="D678" s="135" t="s">
        <v>2105</v>
      </c>
      <c r="E678" s="135"/>
      <c r="F678" s="135" t="s">
        <v>5</v>
      </c>
      <c r="G678" s="135" t="s">
        <v>2106</v>
      </c>
      <c r="H678" s="131">
        <v>224.25</v>
      </c>
    </row>
    <row r="679" spans="2:8" x14ac:dyDescent="0.2">
      <c r="B679" s="135" t="s">
        <v>2254</v>
      </c>
      <c r="C679" s="135" t="s">
        <v>339</v>
      </c>
      <c r="D679" s="135" t="s">
        <v>2255</v>
      </c>
      <c r="E679" s="135"/>
      <c r="F679" s="135" t="s">
        <v>5</v>
      </c>
      <c r="G679" s="135" t="s">
        <v>2256</v>
      </c>
      <c r="H679" s="131">
        <v>1326</v>
      </c>
    </row>
    <row r="680" spans="2:8" x14ac:dyDescent="0.2">
      <c r="B680" s="135" t="s">
        <v>2251</v>
      </c>
      <c r="C680" s="135" t="s">
        <v>339</v>
      </c>
      <c r="D680" s="135" t="s">
        <v>2252</v>
      </c>
      <c r="E680" s="135"/>
      <c r="F680" s="135" t="s">
        <v>5</v>
      </c>
      <c r="G680" s="135" t="s">
        <v>2253</v>
      </c>
      <c r="H680" s="131">
        <v>331.5</v>
      </c>
    </row>
    <row r="681" spans="2:8" ht="25" x14ac:dyDescent="0.2">
      <c r="B681" s="135" t="s">
        <v>2240</v>
      </c>
      <c r="C681" s="135" t="s">
        <v>339</v>
      </c>
      <c r="D681" s="135" t="s">
        <v>2365</v>
      </c>
      <c r="E681" s="135"/>
      <c r="F681" s="135" t="s">
        <v>5</v>
      </c>
      <c r="G681" s="135" t="s">
        <v>2366</v>
      </c>
      <c r="H681" s="131">
        <v>62.4</v>
      </c>
    </row>
    <row r="682" spans="2:8" ht="25" x14ac:dyDescent="0.2">
      <c r="B682" s="135" t="s">
        <v>2340</v>
      </c>
      <c r="C682" s="135" t="s">
        <v>339</v>
      </c>
      <c r="D682" s="135" t="s">
        <v>2369</v>
      </c>
      <c r="E682" s="135"/>
      <c r="F682" s="135" t="s">
        <v>5</v>
      </c>
      <c r="G682" s="135" t="s">
        <v>2366</v>
      </c>
      <c r="H682" s="131">
        <v>-62.4</v>
      </c>
    </row>
    <row r="683" spans="2:8" x14ac:dyDescent="0.2">
      <c r="B683" s="135" t="s">
        <v>2340</v>
      </c>
      <c r="C683" s="135" t="s">
        <v>339</v>
      </c>
      <c r="D683" s="135" t="s">
        <v>2367</v>
      </c>
      <c r="E683" s="135"/>
      <c r="F683" s="135" t="s">
        <v>5</v>
      </c>
      <c r="G683" s="135" t="s">
        <v>2368</v>
      </c>
      <c r="H683" s="131">
        <v>156</v>
      </c>
    </row>
    <row r="684" spans="2:8" x14ac:dyDescent="0.2">
      <c r="B684" s="135" t="s">
        <v>2361</v>
      </c>
      <c r="C684" s="135" t="s">
        <v>339</v>
      </c>
      <c r="D684" s="135" t="s">
        <v>2362</v>
      </c>
      <c r="E684" s="135"/>
      <c r="F684" s="135" t="s">
        <v>5</v>
      </c>
      <c r="G684" s="135" t="s">
        <v>2363</v>
      </c>
      <c r="H684" s="131">
        <v>195</v>
      </c>
    </row>
    <row r="685" spans="2:8" x14ac:dyDescent="0.2">
      <c r="B685" s="135" t="s">
        <v>2370</v>
      </c>
      <c r="C685" s="135" t="s">
        <v>339</v>
      </c>
      <c r="D685" s="135" t="s">
        <v>2371</v>
      </c>
      <c r="E685" s="135"/>
      <c r="F685" s="135" t="s">
        <v>5</v>
      </c>
      <c r="G685" s="135" t="s">
        <v>2372</v>
      </c>
      <c r="H685" s="131">
        <v>175.5</v>
      </c>
    </row>
    <row r="686" spans="2:8" x14ac:dyDescent="0.2">
      <c r="B686" s="135" t="s">
        <v>2553</v>
      </c>
      <c r="C686" s="135" t="s">
        <v>339</v>
      </c>
      <c r="D686" s="135" t="s">
        <v>2566</v>
      </c>
      <c r="E686" s="135"/>
      <c r="F686" s="135" t="s">
        <v>5</v>
      </c>
      <c r="G686" s="135" t="s">
        <v>2567</v>
      </c>
      <c r="H686" s="131">
        <v>195</v>
      </c>
    </row>
    <row r="687" spans="2:8" x14ac:dyDescent="0.2">
      <c r="B687" s="135" t="s">
        <v>2553</v>
      </c>
      <c r="C687" s="135" t="s">
        <v>339</v>
      </c>
      <c r="D687" s="135" t="s">
        <v>2568</v>
      </c>
      <c r="E687" s="135"/>
      <c r="F687" s="135" t="s">
        <v>5</v>
      </c>
      <c r="G687" s="135" t="s">
        <v>2372</v>
      </c>
      <c r="H687" s="131">
        <v>-175.5</v>
      </c>
    </row>
    <row r="688" spans="2:8" x14ac:dyDescent="0.2">
      <c r="B688" s="135" t="s">
        <v>2569</v>
      </c>
      <c r="C688" s="135" t="s">
        <v>339</v>
      </c>
      <c r="D688" s="135" t="s">
        <v>2570</v>
      </c>
      <c r="E688" s="135"/>
      <c r="F688" s="135" t="s">
        <v>5</v>
      </c>
      <c r="G688" s="135" t="s">
        <v>2571</v>
      </c>
      <c r="H688" s="131">
        <v>312</v>
      </c>
    </row>
    <row r="689" spans="1:8" x14ac:dyDescent="0.2">
      <c r="B689" s="135" t="s">
        <v>2548</v>
      </c>
      <c r="C689" s="135" t="s">
        <v>339</v>
      </c>
      <c r="D689" s="135" t="s">
        <v>2572</v>
      </c>
      <c r="E689" s="135"/>
      <c r="F689" s="135" t="s">
        <v>5</v>
      </c>
      <c r="G689" s="135" t="s">
        <v>2573</v>
      </c>
      <c r="H689" s="131">
        <v>280.8</v>
      </c>
    </row>
    <row r="690" spans="1:8" x14ac:dyDescent="0.2">
      <c r="B690" s="135" t="s">
        <v>2737</v>
      </c>
      <c r="C690" s="135" t="s">
        <v>339</v>
      </c>
      <c r="D690" s="135" t="s">
        <v>2753</v>
      </c>
      <c r="E690" s="135"/>
      <c r="F690" s="135" t="s">
        <v>5</v>
      </c>
      <c r="G690" s="135" t="s">
        <v>2754</v>
      </c>
      <c r="H690" s="131">
        <v>312</v>
      </c>
    </row>
    <row r="691" spans="1:8" x14ac:dyDescent="0.2">
      <c r="B691" s="135" t="s">
        <v>2755</v>
      </c>
      <c r="C691" s="135" t="s">
        <v>339</v>
      </c>
      <c r="D691" s="135" t="s">
        <v>2756</v>
      </c>
      <c r="E691" s="135"/>
      <c r="F691" s="135" t="s">
        <v>5</v>
      </c>
      <c r="G691" s="135" t="s">
        <v>2573</v>
      </c>
      <c r="H691" s="131">
        <v>-280.8</v>
      </c>
    </row>
    <row r="692" spans="1:8" x14ac:dyDescent="0.2">
      <c r="B692" s="135" t="s">
        <v>2757</v>
      </c>
      <c r="C692" s="135" t="s">
        <v>339</v>
      </c>
      <c r="D692" s="135" t="s">
        <v>2758</v>
      </c>
      <c r="E692" s="135"/>
      <c r="F692" s="135" t="s">
        <v>5</v>
      </c>
      <c r="G692" s="135" t="s">
        <v>2759</v>
      </c>
      <c r="H692" s="131">
        <v>351</v>
      </c>
    </row>
    <row r="693" spans="1:8" x14ac:dyDescent="0.2">
      <c r="A693" s="129" t="s">
        <v>1873</v>
      </c>
      <c r="H693" s="132">
        <v>14147.25</v>
      </c>
    </row>
    <row r="694" spans="1:8" x14ac:dyDescent="0.2">
      <c r="A694" s="129" t="s">
        <v>1874</v>
      </c>
    </row>
    <row r="695" spans="1:8" x14ac:dyDescent="0.2">
      <c r="B695" s="135" t="s">
        <v>2097</v>
      </c>
      <c r="C695" s="135" t="s">
        <v>339</v>
      </c>
      <c r="D695" s="135" t="s">
        <v>2099</v>
      </c>
      <c r="E695" s="135"/>
      <c r="F695" s="135" t="s">
        <v>5</v>
      </c>
      <c r="G695" s="135" t="s">
        <v>2100</v>
      </c>
      <c r="H695" s="131">
        <v>2692.31</v>
      </c>
    </row>
    <row r="696" spans="1:8" x14ac:dyDescent="0.2">
      <c r="B696" s="135" t="s">
        <v>2097</v>
      </c>
      <c r="C696" s="135" t="s">
        <v>339</v>
      </c>
      <c r="D696" s="135" t="s">
        <v>2098</v>
      </c>
      <c r="E696" s="135"/>
      <c r="F696" s="135" t="s">
        <v>5</v>
      </c>
      <c r="G696" s="135"/>
      <c r="H696" s="131">
        <v>-2692.31</v>
      </c>
    </row>
    <row r="697" spans="1:8" x14ac:dyDescent="0.2">
      <c r="A697" s="129" t="s">
        <v>2110</v>
      </c>
      <c r="H697" s="132">
        <v>0</v>
      </c>
    </row>
    <row r="698" spans="1:8" x14ac:dyDescent="0.2">
      <c r="A698" s="129" t="s">
        <v>1875</v>
      </c>
    </row>
    <row r="699" spans="1:8" x14ac:dyDescent="0.2">
      <c r="B699" s="135" t="s">
        <v>832</v>
      </c>
      <c r="C699" s="135" t="s">
        <v>339</v>
      </c>
      <c r="D699" s="135" t="s">
        <v>833</v>
      </c>
      <c r="E699" s="135"/>
      <c r="F699" s="135" t="s">
        <v>5</v>
      </c>
      <c r="G699" s="135" t="s">
        <v>809</v>
      </c>
      <c r="H699" s="131">
        <v>2692.3</v>
      </c>
    </row>
    <row r="700" spans="1:8" x14ac:dyDescent="0.2">
      <c r="B700" s="135" t="s">
        <v>826</v>
      </c>
      <c r="C700" s="135" t="s">
        <v>339</v>
      </c>
      <c r="D700" s="135" t="s">
        <v>827</v>
      </c>
      <c r="E700" s="135"/>
      <c r="F700" s="135" t="s">
        <v>5</v>
      </c>
      <c r="G700" s="135" t="s">
        <v>828</v>
      </c>
      <c r="H700" s="131">
        <v>2692.31</v>
      </c>
    </row>
    <row r="701" spans="1:8" x14ac:dyDescent="0.2">
      <c r="B701" s="135" t="s">
        <v>829</v>
      </c>
      <c r="C701" s="135" t="s">
        <v>339</v>
      </c>
      <c r="D701" s="135" t="s">
        <v>830</v>
      </c>
      <c r="E701" s="135"/>
      <c r="F701" s="135" t="s">
        <v>5</v>
      </c>
      <c r="G701" s="135" t="s">
        <v>831</v>
      </c>
      <c r="H701" s="131">
        <v>2692.31</v>
      </c>
    </row>
    <row r="702" spans="1:8" x14ac:dyDescent="0.2">
      <c r="B702" s="135" t="s">
        <v>1015</v>
      </c>
      <c r="C702" s="135" t="s">
        <v>339</v>
      </c>
      <c r="D702" s="135" t="s">
        <v>1016</v>
      </c>
      <c r="E702" s="135"/>
      <c r="F702" s="135" t="s">
        <v>5</v>
      </c>
      <c r="G702" s="135" t="s">
        <v>1017</v>
      </c>
      <c r="H702" s="131">
        <v>2692.31</v>
      </c>
    </row>
    <row r="703" spans="1:8" x14ac:dyDescent="0.2">
      <c r="B703" s="135" t="s">
        <v>972</v>
      </c>
      <c r="C703" s="135" t="s">
        <v>339</v>
      </c>
      <c r="D703" s="135" t="s">
        <v>1018</v>
      </c>
      <c r="E703" s="135"/>
      <c r="F703" s="135" t="s">
        <v>5</v>
      </c>
      <c r="G703" s="135" t="s">
        <v>1019</v>
      </c>
      <c r="H703" s="131">
        <v>2692.31</v>
      </c>
    </row>
    <row r="704" spans="1:8" x14ac:dyDescent="0.2">
      <c r="B704" s="135" t="s">
        <v>1173</v>
      </c>
      <c r="C704" s="135" t="s">
        <v>339</v>
      </c>
      <c r="D704" s="135" t="s">
        <v>1174</v>
      </c>
      <c r="E704" s="135"/>
      <c r="F704" s="135" t="s">
        <v>5</v>
      </c>
      <c r="G704" s="135" t="s">
        <v>1175</v>
      </c>
      <c r="H704" s="131">
        <v>2692.31</v>
      </c>
    </row>
    <row r="705" spans="2:8" x14ac:dyDescent="0.2">
      <c r="B705" s="135" t="s">
        <v>1176</v>
      </c>
      <c r="C705" s="135" t="s">
        <v>339</v>
      </c>
      <c r="D705" s="135" t="s">
        <v>1177</v>
      </c>
      <c r="E705" s="135"/>
      <c r="F705" s="135" t="s">
        <v>5</v>
      </c>
      <c r="G705" s="135" t="s">
        <v>1178</v>
      </c>
      <c r="H705" s="131">
        <v>2692.31</v>
      </c>
    </row>
    <row r="706" spans="2:8" x14ac:dyDescent="0.2">
      <c r="B706" s="135" t="s">
        <v>1168</v>
      </c>
      <c r="C706" s="135" t="s">
        <v>339</v>
      </c>
      <c r="D706" s="135" t="s">
        <v>1360</v>
      </c>
      <c r="E706" s="135"/>
      <c r="F706" s="135" t="s">
        <v>5</v>
      </c>
      <c r="G706" s="135" t="s">
        <v>1361</v>
      </c>
      <c r="H706" s="131">
        <v>1346.16</v>
      </c>
    </row>
    <row r="707" spans="2:8" x14ac:dyDescent="0.2">
      <c r="B707" s="135" t="s">
        <v>1362</v>
      </c>
      <c r="C707" s="135" t="s">
        <v>339</v>
      </c>
      <c r="D707" s="135" t="s">
        <v>1364</v>
      </c>
      <c r="E707" s="135"/>
      <c r="F707" s="135" t="s">
        <v>5</v>
      </c>
      <c r="G707" s="135" t="s">
        <v>1361</v>
      </c>
      <c r="H707" s="131">
        <v>-1346.16</v>
      </c>
    </row>
    <row r="708" spans="2:8" x14ac:dyDescent="0.2">
      <c r="B708" s="135" t="s">
        <v>1362</v>
      </c>
      <c r="C708" s="135" t="s">
        <v>339</v>
      </c>
      <c r="D708" s="135" t="s">
        <v>1363</v>
      </c>
      <c r="E708" s="135"/>
      <c r="F708" s="135" t="s">
        <v>5</v>
      </c>
      <c r="G708" s="135" t="s">
        <v>1361</v>
      </c>
      <c r="H708" s="131">
        <v>2692.31</v>
      </c>
    </row>
    <row r="709" spans="2:8" x14ac:dyDescent="0.2">
      <c r="B709" s="135" t="s">
        <v>1312</v>
      </c>
      <c r="C709" s="135" t="s">
        <v>339</v>
      </c>
      <c r="D709" s="135" t="s">
        <v>1365</v>
      </c>
      <c r="E709" s="135"/>
      <c r="F709" s="135" t="s">
        <v>5</v>
      </c>
      <c r="G709" s="135" t="s">
        <v>1366</v>
      </c>
      <c r="H709" s="131">
        <v>2692.31</v>
      </c>
    </row>
    <row r="710" spans="2:8" x14ac:dyDescent="0.2">
      <c r="B710" s="135" t="s">
        <v>1542</v>
      </c>
      <c r="C710" s="135" t="s">
        <v>339</v>
      </c>
      <c r="D710" s="135" t="s">
        <v>1543</v>
      </c>
      <c r="E710" s="135"/>
      <c r="F710" s="135" t="s">
        <v>5</v>
      </c>
      <c r="G710" s="135" t="s">
        <v>1544</v>
      </c>
      <c r="H710" s="131">
        <v>2692.31</v>
      </c>
    </row>
    <row r="711" spans="2:8" x14ac:dyDescent="0.2">
      <c r="B711" s="135" t="s">
        <v>1545</v>
      </c>
      <c r="C711" s="135" t="s">
        <v>339</v>
      </c>
      <c r="D711" s="135" t="s">
        <v>1546</v>
      </c>
      <c r="E711" s="135"/>
      <c r="F711" s="135" t="s">
        <v>5</v>
      </c>
      <c r="G711" s="135" t="s">
        <v>1547</v>
      </c>
      <c r="H711" s="131">
        <v>2692.31</v>
      </c>
    </row>
    <row r="712" spans="2:8" x14ac:dyDescent="0.2">
      <c r="B712" s="135" t="s">
        <v>1548</v>
      </c>
      <c r="C712" s="135" t="s">
        <v>339</v>
      </c>
      <c r="D712" s="135" t="s">
        <v>1549</v>
      </c>
      <c r="E712" s="135"/>
      <c r="F712" s="135" t="s">
        <v>5</v>
      </c>
      <c r="G712" s="135" t="s">
        <v>1550</v>
      </c>
      <c r="H712" s="131">
        <v>2692.31</v>
      </c>
    </row>
    <row r="713" spans="2:8" x14ac:dyDescent="0.2">
      <c r="B713" s="135" t="s">
        <v>1608</v>
      </c>
      <c r="C713" s="135" t="s">
        <v>339</v>
      </c>
      <c r="D713" s="135" t="s">
        <v>1655</v>
      </c>
      <c r="E713" s="135"/>
      <c r="F713" s="135" t="s">
        <v>5</v>
      </c>
      <c r="G713" s="135" t="s">
        <v>1550</v>
      </c>
      <c r="H713" s="131">
        <v>-2692.31</v>
      </c>
    </row>
    <row r="714" spans="2:8" x14ac:dyDescent="0.2">
      <c r="B714" s="135" t="s">
        <v>1608</v>
      </c>
      <c r="C714" s="135" t="s">
        <v>339</v>
      </c>
      <c r="D714" s="135" t="s">
        <v>1656</v>
      </c>
      <c r="E714" s="135"/>
      <c r="F714" s="135" t="s">
        <v>5</v>
      </c>
      <c r="G714" s="135" t="s">
        <v>1550</v>
      </c>
      <c r="H714" s="131">
        <v>2692.31</v>
      </c>
    </row>
    <row r="715" spans="2:8" x14ac:dyDescent="0.2">
      <c r="B715" s="135" t="s">
        <v>1643</v>
      </c>
      <c r="C715" s="135" t="s">
        <v>339</v>
      </c>
      <c r="D715" s="135" t="s">
        <v>1644</v>
      </c>
      <c r="E715" s="135"/>
      <c r="F715" s="135" t="s">
        <v>5</v>
      </c>
      <c r="G715" s="135" t="s">
        <v>1645</v>
      </c>
      <c r="H715" s="131">
        <v>0</v>
      </c>
    </row>
    <row r="716" spans="2:8" x14ac:dyDescent="0.2">
      <c r="B716" s="135" t="s">
        <v>1643</v>
      </c>
      <c r="C716" s="135" t="s">
        <v>339</v>
      </c>
      <c r="D716" s="135" t="s">
        <v>1644</v>
      </c>
      <c r="E716" s="135"/>
      <c r="F716" s="135" t="s">
        <v>5</v>
      </c>
      <c r="G716" s="135" t="s">
        <v>1645</v>
      </c>
      <c r="H716" s="131">
        <v>2692.31</v>
      </c>
    </row>
    <row r="717" spans="2:8" x14ac:dyDescent="0.2">
      <c r="B717" s="135" t="s">
        <v>1624</v>
      </c>
      <c r="C717" s="135" t="s">
        <v>339</v>
      </c>
      <c r="D717" s="135" t="s">
        <v>1651</v>
      </c>
      <c r="E717" s="135"/>
      <c r="F717" s="135" t="s">
        <v>5</v>
      </c>
      <c r="G717" s="135" t="s">
        <v>1652</v>
      </c>
      <c r="H717" s="131">
        <v>2692.31</v>
      </c>
    </row>
    <row r="718" spans="2:8" x14ac:dyDescent="0.2">
      <c r="B718" s="135" t="s">
        <v>1789</v>
      </c>
      <c r="C718" s="135" t="s">
        <v>339</v>
      </c>
      <c r="D718" s="135" t="s">
        <v>1853</v>
      </c>
      <c r="E718" s="135"/>
      <c r="F718" s="135" t="s">
        <v>5</v>
      </c>
      <c r="G718" s="135" t="s">
        <v>1652</v>
      </c>
      <c r="H718" s="131">
        <v>-2692.31</v>
      </c>
    </row>
    <row r="719" spans="2:8" x14ac:dyDescent="0.2">
      <c r="B719" s="135" t="s">
        <v>1789</v>
      </c>
      <c r="C719" s="135" t="s">
        <v>339</v>
      </c>
      <c r="D719" s="135" t="s">
        <v>1852</v>
      </c>
      <c r="E719" s="135"/>
      <c r="F719" s="135" t="s">
        <v>5</v>
      </c>
      <c r="G719" s="135" t="s">
        <v>1652</v>
      </c>
      <c r="H719" s="131">
        <v>2692.31</v>
      </c>
    </row>
    <row r="720" spans="2:8" x14ac:dyDescent="0.2">
      <c r="B720" s="135" t="s">
        <v>1854</v>
      </c>
      <c r="C720" s="135" t="s">
        <v>339</v>
      </c>
      <c r="D720" s="135" t="s">
        <v>1855</v>
      </c>
      <c r="E720" s="135"/>
      <c r="F720" s="135" t="s">
        <v>5</v>
      </c>
      <c r="G720" s="135" t="s">
        <v>1856</v>
      </c>
      <c r="H720" s="131">
        <v>2692.31</v>
      </c>
    </row>
    <row r="721" spans="2:8" x14ac:dyDescent="0.2">
      <c r="B721" s="135" t="s">
        <v>1830</v>
      </c>
      <c r="C721" s="135" t="s">
        <v>339</v>
      </c>
      <c r="D721" s="135" t="s">
        <v>1847</v>
      </c>
      <c r="E721" s="135"/>
      <c r="F721" s="135" t="s">
        <v>5</v>
      </c>
      <c r="G721" s="135"/>
      <c r="H721" s="131">
        <v>2692.31</v>
      </c>
    </row>
    <row r="722" spans="2:8" x14ac:dyDescent="0.2">
      <c r="B722" s="135" t="s">
        <v>2101</v>
      </c>
      <c r="C722" s="135" t="s">
        <v>339</v>
      </c>
      <c r="D722" s="135" t="s">
        <v>2102</v>
      </c>
      <c r="E722" s="135"/>
      <c r="F722" s="135" t="s">
        <v>5</v>
      </c>
      <c r="G722" s="135" t="s">
        <v>2103</v>
      </c>
      <c r="H722" s="131">
        <v>2692.31</v>
      </c>
    </row>
    <row r="723" spans="2:8" x14ac:dyDescent="0.2">
      <c r="B723" s="135" t="s">
        <v>2104</v>
      </c>
      <c r="C723" s="135" t="s">
        <v>339</v>
      </c>
      <c r="D723" s="135" t="s">
        <v>2105</v>
      </c>
      <c r="E723" s="135"/>
      <c r="F723" s="135" t="s">
        <v>5</v>
      </c>
      <c r="G723" s="135" t="s">
        <v>2106</v>
      </c>
      <c r="H723" s="131">
        <v>2692.31</v>
      </c>
    </row>
    <row r="724" spans="2:8" x14ac:dyDescent="0.2">
      <c r="B724" s="135" t="s">
        <v>2254</v>
      </c>
      <c r="C724" s="135" t="s">
        <v>339</v>
      </c>
      <c r="D724" s="135" t="s">
        <v>2255</v>
      </c>
      <c r="E724" s="135"/>
      <c r="F724" s="135" t="s">
        <v>5</v>
      </c>
      <c r="G724" s="135" t="s">
        <v>2256</v>
      </c>
      <c r="H724" s="131">
        <v>2692.31</v>
      </c>
    </row>
    <row r="725" spans="2:8" x14ac:dyDescent="0.2">
      <c r="B725" s="135" t="s">
        <v>2251</v>
      </c>
      <c r="C725" s="135" t="s">
        <v>339</v>
      </c>
      <c r="D725" s="135" t="s">
        <v>2252</v>
      </c>
      <c r="E725" s="135"/>
      <c r="F725" s="135" t="s">
        <v>5</v>
      </c>
      <c r="G725" s="135" t="s">
        <v>2253</v>
      </c>
      <c r="H725" s="131">
        <v>2692.31</v>
      </c>
    </row>
    <row r="726" spans="2:8" ht="25" x14ac:dyDescent="0.2">
      <c r="B726" s="135" t="s">
        <v>2240</v>
      </c>
      <c r="C726" s="135" t="s">
        <v>339</v>
      </c>
      <c r="D726" s="135" t="s">
        <v>2365</v>
      </c>
      <c r="E726" s="135"/>
      <c r="F726" s="135" t="s">
        <v>5</v>
      </c>
      <c r="G726" s="135" t="s">
        <v>2366</v>
      </c>
      <c r="H726" s="131">
        <v>1176.92</v>
      </c>
    </row>
    <row r="727" spans="2:8" x14ac:dyDescent="0.2">
      <c r="B727" s="135" t="s">
        <v>2340</v>
      </c>
      <c r="C727" s="135" t="s">
        <v>339</v>
      </c>
      <c r="D727" s="135" t="s">
        <v>2367</v>
      </c>
      <c r="E727" s="135"/>
      <c r="F727" s="135" t="s">
        <v>5</v>
      </c>
      <c r="G727" s="135" t="s">
        <v>2368</v>
      </c>
      <c r="H727" s="131">
        <v>2942.31</v>
      </c>
    </row>
    <row r="728" spans="2:8" ht="25" x14ac:dyDescent="0.2">
      <c r="B728" s="135" t="s">
        <v>2340</v>
      </c>
      <c r="C728" s="135" t="s">
        <v>339</v>
      </c>
      <c r="D728" s="135" t="s">
        <v>2369</v>
      </c>
      <c r="E728" s="135"/>
      <c r="F728" s="135" t="s">
        <v>5</v>
      </c>
      <c r="G728" s="135" t="s">
        <v>2366</v>
      </c>
      <c r="H728" s="131">
        <v>-1176.92</v>
      </c>
    </row>
    <row r="729" spans="2:8" x14ac:dyDescent="0.2">
      <c r="B729" s="135" t="s">
        <v>2361</v>
      </c>
      <c r="C729" s="135" t="s">
        <v>339</v>
      </c>
      <c r="D729" s="135" t="s">
        <v>2362</v>
      </c>
      <c r="E729" s="135"/>
      <c r="F729" s="135" t="s">
        <v>5</v>
      </c>
      <c r="G729" s="135" t="s">
        <v>2363</v>
      </c>
      <c r="H729" s="131">
        <v>2692.31</v>
      </c>
    </row>
    <row r="730" spans="2:8" x14ac:dyDescent="0.2">
      <c r="B730" s="135" t="s">
        <v>2370</v>
      </c>
      <c r="C730" s="135" t="s">
        <v>339</v>
      </c>
      <c r="D730" s="135" t="s">
        <v>2371</v>
      </c>
      <c r="E730" s="135"/>
      <c r="F730" s="135" t="s">
        <v>5</v>
      </c>
      <c r="G730" s="135" t="s">
        <v>2372</v>
      </c>
      <c r="H730" s="131">
        <v>2423.08</v>
      </c>
    </row>
    <row r="731" spans="2:8" x14ac:dyDescent="0.2">
      <c r="B731" s="135" t="s">
        <v>2553</v>
      </c>
      <c r="C731" s="135" t="s">
        <v>339</v>
      </c>
      <c r="D731" s="135" t="s">
        <v>2568</v>
      </c>
      <c r="E731" s="135"/>
      <c r="F731" s="135" t="s">
        <v>5</v>
      </c>
      <c r="G731" s="135" t="s">
        <v>2372</v>
      </c>
      <c r="H731" s="131">
        <v>-2423.08</v>
      </c>
    </row>
    <row r="732" spans="2:8" x14ac:dyDescent="0.2">
      <c r="B732" s="135" t="s">
        <v>2553</v>
      </c>
      <c r="C732" s="135" t="s">
        <v>339</v>
      </c>
      <c r="D732" s="135" t="s">
        <v>2566</v>
      </c>
      <c r="E732" s="135"/>
      <c r="F732" s="135" t="s">
        <v>5</v>
      </c>
      <c r="G732" s="135" t="s">
        <v>2567</v>
      </c>
      <c r="H732" s="131">
        <v>2692.31</v>
      </c>
    </row>
    <row r="733" spans="2:8" x14ac:dyDescent="0.2">
      <c r="B733" s="135" t="s">
        <v>2569</v>
      </c>
      <c r="C733" s="135" t="s">
        <v>339</v>
      </c>
      <c r="D733" s="135" t="s">
        <v>2570</v>
      </c>
      <c r="E733" s="135"/>
      <c r="F733" s="135" t="s">
        <v>5</v>
      </c>
      <c r="G733" s="135" t="s">
        <v>2571</v>
      </c>
      <c r="H733" s="131">
        <v>2692.31</v>
      </c>
    </row>
    <row r="734" spans="2:8" x14ac:dyDescent="0.2">
      <c r="B734" s="135" t="s">
        <v>2548</v>
      </c>
      <c r="C734" s="135" t="s">
        <v>339</v>
      </c>
      <c r="D734" s="135" t="s">
        <v>2572</v>
      </c>
      <c r="E734" s="135"/>
      <c r="F734" s="135" t="s">
        <v>5</v>
      </c>
      <c r="G734" s="135" t="s">
        <v>2573</v>
      </c>
      <c r="H734" s="131">
        <v>2423.08</v>
      </c>
    </row>
    <row r="735" spans="2:8" x14ac:dyDescent="0.2">
      <c r="B735" s="135" t="s">
        <v>2737</v>
      </c>
      <c r="C735" s="135" t="s">
        <v>339</v>
      </c>
      <c r="D735" s="135" t="s">
        <v>2753</v>
      </c>
      <c r="E735" s="135"/>
      <c r="F735" s="135" t="s">
        <v>5</v>
      </c>
      <c r="G735" s="135" t="s">
        <v>2754</v>
      </c>
      <c r="H735" s="131">
        <v>2692.31</v>
      </c>
    </row>
    <row r="736" spans="2:8" x14ac:dyDescent="0.2">
      <c r="B736" s="135" t="s">
        <v>2755</v>
      </c>
      <c r="C736" s="135" t="s">
        <v>339</v>
      </c>
      <c r="D736" s="135" t="s">
        <v>2756</v>
      </c>
      <c r="E736" s="135"/>
      <c r="F736" s="135" t="s">
        <v>5</v>
      </c>
      <c r="G736" s="135" t="s">
        <v>2573</v>
      </c>
      <c r="H736" s="131">
        <v>-2423.08</v>
      </c>
    </row>
    <row r="737" spans="1:8" x14ac:dyDescent="0.2">
      <c r="B737" s="135" t="s">
        <v>2757</v>
      </c>
      <c r="C737" s="135" t="s">
        <v>339</v>
      </c>
      <c r="D737" s="135" t="s">
        <v>2758</v>
      </c>
      <c r="E737" s="135"/>
      <c r="F737" s="135" t="s">
        <v>5</v>
      </c>
      <c r="G737" s="135" t="s">
        <v>2759</v>
      </c>
      <c r="H737" s="131">
        <v>2692.31</v>
      </c>
    </row>
    <row r="738" spans="1:8" x14ac:dyDescent="0.2">
      <c r="B738" s="135" t="s">
        <v>2741</v>
      </c>
      <c r="C738" s="135" t="s">
        <v>339</v>
      </c>
      <c r="D738" s="135" t="s">
        <v>2760</v>
      </c>
      <c r="E738" s="135"/>
      <c r="F738" s="135" t="s">
        <v>5</v>
      </c>
      <c r="G738" s="135" t="s">
        <v>2761</v>
      </c>
      <c r="H738" s="131">
        <v>2423.08</v>
      </c>
    </row>
    <row r="739" spans="1:8" x14ac:dyDescent="0.2">
      <c r="A739" s="129" t="s">
        <v>1876</v>
      </c>
      <c r="H739" s="132">
        <v>72673.13</v>
      </c>
    </row>
    <row r="740" spans="1:8" x14ac:dyDescent="0.2">
      <c r="A740" s="129" t="s">
        <v>1877</v>
      </c>
    </row>
    <row r="741" spans="1:8" x14ac:dyDescent="0.2">
      <c r="B741" s="135" t="s">
        <v>832</v>
      </c>
      <c r="C741" s="135" t="s">
        <v>339</v>
      </c>
      <c r="D741" s="135" t="s">
        <v>833</v>
      </c>
      <c r="E741" s="135"/>
      <c r="F741" s="135" t="s">
        <v>5</v>
      </c>
      <c r="G741" s="135" t="s">
        <v>809</v>
      </c>
      <c r="H741" s="131">
        <v>196.15</v>
      </c>
    </row>
    <row r="742" spans="1:8" x14ac:dyDescent="0.2">
      <c r="B742" s="135" t="s">
        <v>826</v>
      </c>
      <c r="C742" s="135" t="s">
        <v>339</v>
      </c>
      <c r="D742" s="135" t="s">
        <v>827</v>
      </c>
      <c r="E742" s="135"/>
      <c r="F742" s="135" t="s">
        <v>5</v>
      </c>
      <c r="G742" s="135" t="s">
        <v>828</v>
      </c>
      <c r="H742" s="131">
        <v>196.15</v>
      </c>
    </row>
    <row r="743" spans="1:8" x14ac:dyDescent="0.2">
      <c r="B743" s="135" t="s">
        <v>829</v>
      </c>
      <c r="C743" s="135" t="s">
        <v>339</v>
      </c>
      <c r="D743" s="135" t="s">
        <v>830</v>
      </c>
      <c r="E743" s="135"/>
      <c r="F743" s="135" t="s">
        <v>5</v>
      </c>
      <c r="G743" s="135" t="s">
        <v>831</v>
      </c>
      <c r="H743" s="131">
        <v>196.15</v>
      </c>
    </row>
    <row r="744" spans="1:8" x14ac:dyDescent="0.2">
      <c r="B744" s="135" t="s">
        <v>1015</v>
      </c>
      <c r="C744" s="135" t="s">
        <v>339</v>
      </c>
      <c r="D744" s="135" t="s">
        <v>1016</v>
      </c>
      <c r="E744" s="135"/>
      <c r="F744" s="135" t="s">
        <v>5</v>
      </c>
      <c r="G744" s="135" t="s">
        <v>1017</v>
      </c>
      <c r="H744" s="131">
        <v>196.15</v>
      </c>
    </row>
    <row r="745" spans="1:8" x14ac:dyDescent="0.2">
      <c r="B745" s="135" t="s">
        <v>972</v>
      </c>
      <c r="C745" s="135" t="s">
        <v>339</v>
      </c>
      <c r="D745" s="135" t="s">
        <v>1018</v>
      </c>
      <c r="E745" s="135"/>
      <c r="F745" s="135" t="s">
        <v>5</v>
      </c>
      <c r="G745" s="135" t="s">
        <v>1019</v>
      </c>
      <c r="H745" s="131">
        <v>196.15</v>
      </c>
    </row>
    <row r="746" spans="1:8" x14ac:dyDescent="0.2">
      <c r="B746" s="135" t="s">
        <v>1173</v>
      </c>
      <c r="C746" s="135" t="s">
        <v>339</v>
      </c>
      <c r="D746" s="135" t="s">
        <v>1174</v>
      </c>
      <c r="E746" s="135"/>
      <c r="F746" s="135" t="s">
        <v>5</v>
      </c>
      <c r="G746" s="135" t="s">
        <v>1175</v>
      </c>
      <c r="H746" s="131">
        <v>196.15</v>
      </c>
    </row>
    <row r="747" spans="1:8" x14ac:dyDescent="0.2">
      <c r="B747" s="135" t="s">
        <v>1176</v>
      </c>
      <c r="C747" s="135" t="s">
        <v>339</v>
      </c>
      <c r="D747" s="135" t="s">
        <v>1177</v>
      </c>
      <c r="E747" s="135"/>
      <c r="F747" s="135" t="s">
        <v>5</v>
      </c>
      <c r="G747" s="135" t="s">
        <v>1178</v>
      </c>
      <c r="H747" s="131">
        <v>196.15</v>
      </c>
    </row>
    <row r="748" spans="1:8" x14ac:dyDescent="0.2">
      <c r="B748" s="135" t="s">
        <v>1542</v>
      </c>
      <c r="C748" s="135" t="s">
        <v>339</v>
      </c>
      <c r="D748" s="135" t="s">
        <v>1543</v>
      </c>
      <c r="E748" s="135"/>
      <c r="F748" s="135" t="s">
        <v>5</v>
      </c>
      <c r="G748" s="135" t="s">
        <v>1544</v>
      </c>
      <c r="H748" s="131">
        <v>196.15</v>
      </c>
    </row>
    <row r="749" spans="1:8" x14ac:dyDescent="0.2">
      <c r="B749" s="135" t="s">
        <v>1545</v>
      </c>
      <c r="C749" s="135" t="s">
        <v>339</v>
      </c>
      <c r="D749" s="135" t="s">
        <v>1546</v>
      </c>
      <c r="E749" s="135"/>
      <c r="F749" s="135" t="s">
        <v>5</v>
      </c>
      <c r="G749" s="135" t="s">
        <v>1547</v>
      </c>
      <c r="H749" s="131">
        <v>196.15</v>
      </c>
    </row>
    <row r="750" spans="1:8" x14ac:dyDescent="0.2">
      <c r="B750" s="135" t="s">
        <v>1608</v>
      </c>
      <c r="C750" s="135" t="s">
        <v>339</v>
      </c>
      <c r="D750" s="135" t="s">
        <v>1656</v>
      </c>
      <c r="E750" s="135"/>
      <c r="F750" s="135" t="s">
        <v>5</v>
      </c>
      <c r="G750" s="135" t="s">
        <v>1550</v>
      </c>
      <c r="H750" s="131">
        <v>196.15</v>
      </c>
    </row>
    <row r="751" spans="1:8" x14ac:dyDescent="0.2">
      <c r="B751" s="135" t="s">
        <v>1643</v>
      </c>
      <c r="C751" s="135" t="s">
        <v>339</v>
      </c>
      <c r="D751" s="135" t="s">
        <v>1644</v>
      </c>
      <c r="E751" s="135"/>
      <c r="F751" s="135" t="s">
        <v>5</v>
      </c>
      <c r="G751" s="135" t="s">
        <v>1645</v>
      </c>
      <c r="H751" s="131">
        <v>-14.52</v>
      </c>
    </row>
    <row r="752" spans="1:8" x14ac:dyDescent="0.2">
      <c r="B752" s="135" t="s">
        <v>1643</v>
      </c>
      <c r="C752" s="135" t="s">
        <v>339</v>
      </c>
      <c r="D752" s="135" t="s">
        <v>1644</v>
      </c>
      <c r="E752" s="135"/>
      <c r="F752" s="135" t="s">
        <v>5</v>
      </c>
      <c r="G752" s="135" t="s">
        <v>1645</v>
      </c>
      <c r="H752" s="131">
        <v>196.15</v>
      </c>
    </row>
    <row r="753" spans="2:8" x14ac:dyDescent="0.2">
      <c r="B753" s="135" t="s">
        <v>1789</v>
      </c>
      <c r="C753" s="135" t="s">
        <v>339</v>
      </c>
      <c r="D753" s="135" t="s">
        <v>1852</v>
      </c>
      <c r="E753" s="135"/>
      <c r="F753" s="135" t="s">
        <v>5</v>
      </c>
      <c r="G753" s="135" t="s">
        <v>1652</v>
      </c>
      <c r="H753" s="131">
        <v>-14.52</v>
      </c>
    </row>
    <row r="754" spans="2:8" x14ac:dyDescent="0.2">
      <c r="B754" s="135" t="s">
        <v>1789</v>
      </c>
      <c r="C754" s="135" t="s">
        <v>339</v>
      </c>
      <c r="D754" s="135" t="s">
        <v>1852</v>
      </c>
      <c r="E754" s="135"/>
      <c r="F754" s="135" t="s">
        <v>5</v>
      </c>
      <c r="G754" s="135" t="s">
        <v>1652</v>
      </c>
      <c r="H754" s="131">
        <v>196.15</v>
      </c>
    </row>
    <row r="755" spans="2:8" x14ac:dyDescent="0.2">
      <c r="B755" s="135" t="s">
        <v>1854</v>
      </c>
      <c r="C755" s="135" t="s">
        <v>339</v>
      </c>
      <c r="D755" s="135" t="s">
        <v>1855</v>
      </c>
      <c r="E755" s="135"/>
      <c r="F755" s="135" t="s">
        <v>5</v>
      </c>
      <c r="G755" s="135" t="s">
        <v>1856</v>
      </c>
      <c r="H755" s="131">
        <v>-14.52</v>
      </c>
    </row>
    <row r="756" spans="2:8" x14ac:dyDescent="0.2">
      <c r="B756" s="135" t="s">
        <v>1854</v>
      </c>
      <c r="C756" s="135" t="s">
        <v>339</v>
      </c>
      <c r="D756" s="135" t="s">
        <v>1855</v>
      </c>
      <c r="E756" s="135"/>
      <c r="F756" s="135" t="s">
        <v>5</v>
      </c>
      <c r="G756" s="135" t="s">
        <v>1856</v>
      </c>
      <c r="H756" s="131">
        <v>196.15</v>
      </c>
    </row>
    <row r="757" spans="2:8" x14ac:dyDescent="0.2">
      <c r="B757" s="135" t="s">
        <v>2101</v>
      </c>
      <c r="C757" s="135" t="s">
        <v>339</v>
      </c>
      <c r="D757" s="135" t="s">
        <v>2102</v>
      </c>
      <c r="E757" s="135"/>
      <c r="F757" s="135" t="s">
        <v>5</v>
      </c>
      <c r="G757" s="135" t="s">
        <v>2103</v>
      </c>
      <c r="H757" s="131">
        <v>-14.52</v>
      </c>
    </row>
    <row r="758" spans="2:8" x14ac:dyDescent="0.2">
      <c r="B758" s="135" t="s">
        <v>2101</v>
      </c>
      <c r="C758" s="135" t="s">
        <v>339</v>
      </c>
      <c r="D758" s="135" t="s">
        <v>2102</v>
      </c>
      <c r="E758" s="135"/>
      <c r="F758" s="135" t="s">
        <v>5</v>
      </c>
      <c r="G758" s="135" t="s">
        <v>2103</v>
      </c>
      <c r="H758" s="131">
        <v>196.15</v>
      </c>
    </row>
    <row r="759" spans="2:8" x14ac:dyDescent="0.2">
      <c r="B759" s="135" t="s">
        <v>2104</v>
      </c>
      <c r="C759" s="135" t="s">
        <v>339</v>
      </c>
      <c r="D759" s="135" t="s">
        <v>2105</v>
      </c>
      <c r="E759" s="135"/>
      <c r="F759" s="135" t="s">
        <v>5</v>
      </c>
      <c r="G759" s="135" t="s">
        <v>2106</v>
      </c>
      <c r="H759" s="131">
        <v>196.15</v>
      </c>
    </row>
    <row r="760" spans="2:8" x14ac:dyDescent="0.2">
      <c r="B760" s="135" t="s">
        <v>2104</v>
      </c>
      <c r="C760" s="135" t="s">
        <v>339</v>
      </c>
      <c r="D760" s="135" t="s">
        <v>2105</v>
      </c>
      <c r="E760" s="135"/>
      <c r="F760" s="135" t="s">
        <v>5</v>
      </c>
      <c r="G760" s="135" t="s">
        <v>2106</v>
      </c>
      <c r="H760" s="131">
        <v>-14.52</v>
      </c>
    </row>
    <row r="761" spans="2:8" x14ac:dyDescent="0.2">
      <c r="B761" s="135" t="s">
        <v>2251</v>
      </c>
      <c r="C761" s="135" t="s">
        <v>339</v>
      </c>
      <c r="D761" s="135" t="s">
        <v>2252</v>
      </c>
      <c r="E761" s="135"/>
      <c r="F761" s="135" t="s">
        <v>5</v>
      </c>
      <c r="G761" s="135" t="s">
        <v>2253</v>
      </c>
      <c r="H761" s="131">
        <v>196.15</v>
      </c>
    </row>
    <row r="762" spans="2:8" x14ac:dyDescent="0.2">
      <c r="B762" s="135" t="s">
        <v>2340</v>
      </c>
      <c r="C762" s="135" t="s">
        <v>339</v>
      </c>
      <c r="D762" s="135" t="s">
        <v>2367</v>
      </c>
      <c r="E762" s="135"/>
      <c r="F762" s="135" t="s">
        <v>5</v>
      </c>
      <c r="G762" s="135" t="s">
        <v>2368</v>
      </c>
      <c r="H762" s="131">
        <v>-14.52</v>
      </c>
    </row>
    <row r="763" spans="2:8" x14ac:dyDescent="0.2">
      <c r="B763" s="135" t="s">
        <v>2340</v>
      </c>
      <c r="C763" s="135" t="s">
        <v>339</v>
      </c>
      <c r="D763" s="135" t="s">
        <v>2367</v>
      </c>
      <c r="E763" s="135"/>
      <c r="F763" s="135" t="s">
        <v>5</v>
      </c>
      <c r="G763" s="135" t="s">
        <v>2368</v>
      </c>
      <c r="H763" s="131">
        <v>196.15</v>
      </c>
    </row>
    <row r="764" spans="2:8" x14ac:dyDescent="0.2">
      <c r="B764" s="135" t="s">
        <v>2361</v>
      </c>
      <c r="C764" s="135" t="s">
        <v>339</v>
      </c>
      <c r="D764" s="135" t="s">
        <v>2362</v>
      </c>
      <c r="E764" s="135"/>
      <c r="F764" s="135" t="s">
        <v>5</v>
      </c>
      <c r="G764" s="135" t="s">
        <v>2363</v>
      </c>
      <c r="H764" s="131">
        <v>-14.51</v>
      </c>
    </row>
    <row r="765" spans="2:8" x14ac:dyDescent="0.2">
      <c r="B765" s="135" t="s">
        <v>2361</v>
      </c>
      <c r="C765" s="135" t="s">
        <v>339</v>
      </c>
      <c r="D765" s="135" t="s">
        <v>2362</v>
      </c>
      <c r="E765" s="135"/>
      <c r="F765" s="135" t="s">
        <v>5</v>
      </c>
      <c r="G765" s="135" t="s">
        <v>2363</v>
      </c>
      <c r="H765" s="131">
        <v>196.15</v>
      </c>
    </row>
    <row r="766" spans="2:8" x14ac:dyDescent="0.2">
      <c r="B766" s="135" t="s">
        <v>2553</v>
      </c>
      <c r="C766" s="135" t="s">
        <v>339</v>
      </c>
      <c r="D766" s="135" t="s">
        <v>2566</v>
      </c>
      <c r="E766" s="135"/>
      <c r="F766" s="135" t="s">
        <v>5</v>
      </c>
      <c r="G766" s="135" t="s">
        <v>2567</v>
      </c>
      <c r="H766" s="131">
        <v>196.15</v>
      </c>
    </row>
    <row r="767" spans="2:8" x14ac:dyDescent="0.2">
      <c r="B767" s="135" t="s">
        <v>2553</v>
      </c>
      <c r="C767" s="135" t="s">
        <v>339</v>
      </c>
      <c r="D767" s="135" t="s">
        <v>2566</v>
      </c>
      <c r="E767" s="135"/>
      <c r="F767" s="135" t="s">
        <v>5</v>
      </c>
      <c r="G767" s="135" t="s">
        <v>2567</v>
      </c>
      <c r="H767" s="131">
        <v>-14.52</v>
      </c>
    </row>
    <row r="768" spans="2:8" x14ac:dyDescent="0.2">
      <c r="B768" s="135" t="s">
        <v>2569</v>
      </c>
      <c r="C768" s="135" t="s">
        <v>339</v>
      </c>
      <c r="D768" s="135" t="s">
        <v>2570</v>
      </c>
      <c r="E768" s="135"/>
      <c r="F768" s="135" t="s">
        <v>5</v>
      </c>
      <c r="G768" s="135" t="s">
        <v>2571</v>
      </c>
      <c r="H768" s="131">
        <v>196.15</v>
      </c>
    </row>
    <row r="769" spans="1:8" x14ac:dyDescent="0.2">
      <c r="B769" s="135" t="s">
        <v>2569</v>
      </c>
      <c r="C769" s="135" t="s">
        <v>339</v>
      </c>
      <c r="D769" s="135" t="s">
        <v>2570</v>
      </c>
      <c r="E769" s="135"/>
      <c r="F769" s="135" t="s">
        <v>5</v>
      </c>
      <c r="G769" s="135" t="s">
        <v>2571</v>
      </c>
      <c r="H769" s="131">
        <v>-14.52</v>
      </c>
    </row>
    <row r="770" spans="1:8" x14ac:dyDescent="0.2">
      <c r="B770" s="135" t="s">
        <v>2737</v>
      </c>
      <c r="C770" s="135" t="s">
        <v>339</v>
      </c>
      <c r="D770" s="135" t="s">
        <v>2753</v>
      </c>
      <c r="E770" s="135"/>
      <c r="F770" s="135" t="s">
        <v>5</v>
      </c>
      <c r="G770" s="135" t="s">
        <v>2754</v>
      </c>
      <c r="H770" s="131">
        <v>196.15</v>
      </c>
    </row>
    <row r="771" spans="1:8" x14ac:dyDescent="0.2">
      <c r="B771" s="135" t="s">
        <v>2757</v>
      </c>
      <c r="C771" s="135" t="s">
        <v>339</v>
      </c>
      <c r="D771" s="135" t="s">
        <v>2758</v>
      </c>
      <c r="E771" s="135"/>
      <c r="F771" s="135" t="s">
        <v>5</v>
      </c>
      <c r="G771" s="135" t="s">
        <v>2759</v>
      </c>
      <c r="H771" s="131">
        <v>-14.51</v>
      </c>
    </row>
    <row r="772" spans="1:8" x14ac:dyDescent="0.2">
      <c r="B772" s="135" t="s">
        <v>2757</v>
      </c>
      <c r="C772" s="135" t="s">
        <v>339</v>
      </c>
      <c r="D772" s="135" t="s">
        <v>2758</v>
      </c>
      <c r="E772" s="135"/>
      <c r="F772" s="135" t="s">
        <v>5</v>
      </c>
      <c r="G772" s="135" t="s">
        <v>2759</v>
      </c>
      <c r="H772" s="131">
        <v>196.15</v>
      </c>
    </row>
    <row r="773" spans="1:8" x14ac:dyDescent="0.2">
      <c r="A773" s="129" t="s">
        <v>1878</v>
      </c>
      <c r="H773" s="132">
        <v>4170.12</v>
      </c>
    </row>
    <row r="774" spans="1:8" x14ac:dyDescent="0.2">
      <c r="A774" s="129" t="s">
        <v>1879</v>
      </c>
    </row>
    <row r="775" spans="1:8" x14ac:dyDescent="0.2">
      <c r="B775" s="135" t="s">
        <v>1643</v>
      </c>
      <c r="C775" s="135" t="s">
        <v>339</v>
      </c>
      <c r="D775" s="135" t="s">
        <v>1644</v>
      </c>
      <c r="E775" s="135"/>
      <c r="F775" s="135" t="s">
        <v>5</v>
      </c>
      <c r="G775" s="135" t="s">
        <v>1645</v>
      </c>
      <c r="H775" s="131">
        <v>14.52</v>
      </c>
    </row>
    <row r="776" spans="1:8" x14ac:dyDescent="0.2">
      <c r="B776" s="135" t="s">
        <v>1789</v>
      </c>
      <c r="C776" s="135" t="s">
        <v>339</v>
      </c>
      <c r="D776" s="135" t="s">
        <v>1852</v>
      </c>
      <c r="E776" s="135"/>
      <c r="F776" s="135" t="s">
        <v>5</v>
      </c>
      <c r="G776" s="135" t="s">
        <v>1652</v>
      </c>
      <c r="H776" s="131">
        <v>14.52</v>
      </c>
    </row>
    <row r="777" spans="1:8" x14ac:dyDescent="0.2">
      <c r="B777" s="135" t="s">
        <v>1854</v>
      </c>
      <c r="C777" s="135" t="s">
        <v>339</v>
      </c>
      <c r="D777" s="135" t="s">
        <v>1855</v>
      </c>
      <c r="E777" s="135"/>
      <c r="F777" s="135" t="s">
        <v>5</v>
      </c>
      <c r="G777" s="135" t="s">
        <v>1856</v>
      </c>
      <c r="H777" s="131">
        <v>14.52</v>
      </c>
    </row>
    <row r="778" spans="1:8" x14ac:dyDescent="0.2">
      <c r="B778" s="135" t="s">
        <v>1830</v>
      </c>
      <c r="C778" s="135" t="s">
        <v>339</v>
      </c>
      <c r="D778" s="135" t="s">
        <v>1847</v>
      </c>
      <c r="E778" s="135"/>
      <c r="F778" s="135" t="s">
        <v>5</v>
      </c>
      <c r="G778" s="135"/>
      <c r="H778" s="131">
        <v>196.15</v>
      </c>
    </row>
    <row r="779" spans="1:8" x14ac:dyDescent="0.2">
      <c r="B779" s="135" t="s">
        <v>2097</v>
      </c>
      <c r="C779" s="135" t="s">
        <v>339</v>
      </c>
      <c r="D779" s="135" t="s">
        <v>2098</v>
      </c>
      <c r="E779" s="135"/>
      <c r="F779" s="135" t="s">
        <v>5</v>
      </c>
      <c r="G779" s="135"/>
      <c r="H779" s="131">
        <v>-196.15</v>
      </c>
    </row>
    <row r="780" spans="1:8" x14ac:dyDescent="0.2">
      <c r="B780" s="135" t="s">
        <v>2097</v>
      </c>
      <c r="C780" s="135" t="s">
        <v>339</v>
      </c>
      <c r="D780" s="135" t="s">
        <v>2099</v>
      </c>
      <c r="E780" s="135"/>
      <c r="F780" s="135" t="s">
        <v>5</v>
      </c>
      <c r="G780" s="135" t="s">
        <v>2100</v>
      </c>
      <c r="H780" s="131">
        <v>-14.51</v>
      </c>
    </row>
    <row r="781" spans="1:8" x14ac:dyDescent="0.2">
      <c r="B781" s="135" t="s">
        <v>2097</v>
      </c>
      <c r="C781" s="135" t="s">
        <v>339</v>
      </c>
      <c r="D781" s="135" t="s">
        <v>2099</v>
      </c>
      <c r="E781" s="135"/>
      <c r="F781" s="135" t="s">
        <v>5</v>
      </c>
      <c r="G781" s="135" t="s">
        <v>2100</v>
      </c>
      <c r="H781" s="131">
        <v>14.51</v>
      </c>
    </row>
    <row r="782" spans="1:8" x14ac:dyDescent="0.2">
      <c r="B782" s="135" t="s">
        <v>2097</v>
      </c>
      <c r="C782" s="135" t="s">
        <v>339</v>
      </c>
      <c r="D782" s="135" t="s">
        <v>2099</v>
      </c>
      <c r="E782" s="135"/>
      <c r="F782" s="135" t="s">
        <v>5</v>
      </c>
      <c r="G782" s="135" t="s">
        <v>2100</v>
      </c>
      <c r="H782" s="131">
        <v>196.15</v>
      </c>
    </row>
    <row r="783" spans="1:8" x14ac:dyDescent="0.2">
      <c r="B783" s="135" t="s">
        <v>2101</v>
      </c>
      <c r="C783" s="135" t="s">
        <v>339</v>
      </c>
      <c r="D783" s="135" t="s">
        <v>2102</v>
      </c>
      <c r="E783" s="135"/>
      <c r="F783" s="135" t="s">
        <v>5</v>
      </c>
      <c r="G783" s="135" t="s">
        <v>2103</v>
      </c>
      <c r="H783" s="131">
        <v>14.52</v>
      </c>
    </row>
    <row r="784" spans="1:8" x14ac:dyDescent="0.2">
      <c r="B784" s="135" t="s">
        <v>2104</v>
      </c>
      <c r="C784" s="135" t="s">
        <v>339</v>
      </c>
      <c r="D784" s="135" t="s">
        <v>2105</v>
      </c>
      <c r="E784" s="135"/>
      <c r="F784" s="135" t="s">
        <v>5</v>
      </c>
      <c r="G784" s="135" t="s">
        <v>2106</v>
      </c>
      <c r="H784" s="131">
        <v>14.52</v>
      </c>
    </row>
    <row r="785" spans="1:8" x14ac:dyDescent="0.2">
      <c r="B785" s="135" t="s">
        <v>2254</v>
      </c>
      <c r="C785" s="135" t="s">
        <v>339</v>
      </c>
      <c r="D785" s="135" t="s">
        <v>2255</v>
      </c>
      <c r="E785" s="135"/>
      <c r="F785" s="135" t="s">
        <v>5</v>
      </c>
      <c r="G785" s="135" t="s">
        <v>2256</v>
      </c>
      <c r="H785" s="131">
        <v>196.15</v>
      </c>
    </row>
    <row r="786" spans="1:8" x14ac:dyDescent="0.2">
      <c r="B786" s="135" t="s">
        <v>2254</v>
      </c>
      <c r="C786" s="135" t="s">
        <v>339</v>
      </c>
      <c r="D786" s="135" t="s">
        <v>2255</v>
      </c>
      <c r="E786" s="135"/>
      <c r="F786" s="135" t="s">
        <v>5</v>
      </c>
      <c r="G786" s="135" t="s">
        <v>2256</v>
      </c>
      <c r="H786" s="136"/>
    </row>
    <row r="787" spans="1:8" x14ac:dyDescent="0.2">
      <c r="B787" s="135" t="s">
        <v>2340</v>
      </c>
      <c r="C787" s="135" t="s">
        <v>339</v>
      </c>
      <c r="D787" s="135" t="s">
        <v>2367</v>
      </c>
      <c r="E787" s="135"/>
      <c r="F787" s="135" t="s">
        <v>5</v>
      </c>
      <c r="G787" s="135" t="s">
        <v>2368</v>
      </c>
      <c r="H787" s="131">
        <v>14.52</v>
      </c>
    </row>
    <row r="788" spans="1:8" x14ac:dyDescent="0.2">
      <c r="B788" s="135" t="s">
        <v>2361</v>
      </c>
      <c r="C788" s="135" t="s">
        <v>339</v>
      </c>
      <c r="D788" s="135" t="s">
        <v>2362</v>
      </c>
      <c r="E788" s="135"/>
      <c r="F788" s="135" t="s">
        <v>5</v>
      </c>
      <c r="G788" s="135" t="s">
        <v>2363</v>
      </c>
      <c r="H788" s="131">
        <v>14.51</v>
      </c>
    </row>
    <row r="789" spans="1:8" x14ac:dyDescent="0.2">
      <c r="B789" s="135" t="s">
        <v>2553</v>
      </c>
      <c r="C789" s="135" t="s">
        <v>339</v>
      </c>
      <c r="D789" s="135" t="s">
        <v>2566</v>
      </c>
      <c r="E789" s="135"/>
      <c r="F789" s="135" t="s">
        <v>5</v>
      </c>
      <c r="G789" s="135" t="s">
        <v>2567</v>
      </c>
      <c r="H789" s="131">
        <v>14.52</v>
      </c>
    </row>
    <row r="790" spans="1:8" x14ac:dyDescent="0.2">
      <c r="B790" s="135" t="s">
        <v>2569</v>
      </c>
      <c r="C790" s="135" t="s">
        <v>339</v>
      </c>
      <c r="D790" s="135" t="s">
        <v>2570</v>
      </c>
      <c r="E790" s="135"/>
      <c r="F790" s="135" t="s">
        <v>5</v>
      </c>
      <c r="G790" s="135" t="s">
        <v>2571</v>
      </c>
      <c r="H790" s="131">
        <v>14.52</v>
      </c>
    </row>
    <row r="791" spans="1:8" x14ac:dyDescent="0.2">
      <c r="B791" s="135" t="s">
        <v>2757</v>
      </c>
      <c r="C791" s="135" t="s">
        <v>339</v>
      </c>
      <c r="D791" s="135" t="s">
        <v>2758</v>
      </c>
      <c r="E791" s="135"/>
      <c r="F791" s="135" t="s">
        <v>5</v>
      </c>
      <c r="G791" s="135" t="s">
        <v>2759</v>
      </c>
      <c r="H791" s="131">
        <v>14.51</v>
      </c>
    </row>
    <row r="792" spans="1:8" x14ac:dyDescent="0.2">
      <c r="A792" s="129" t="s">
        <v>1880</v>
      </c>
      <c r="H792" s="132">
        <v>537.48</v>
      </c>
    </row>
    <row r="793" spans="1:8" x14ac:dyDescent="0.2">
      <c r="A793" s="129" t="s">
        <v>2257</v>
      </c>
    </row>
    <row r="794" spans="1:8" x14ac:dyDescent="0.2">
      <c r="B794" s="135" t="s">
        <v>2254</v>
      </c>
      <c r="C794" s="135" t="s">
        <v>339</v>
      </c>
      <c r="D794" s="135" t="s">
        <v>2255</v>
      </c>
      <c r="E794" s="135"/>
      <c r="F794" s="135" t="s">
        <v>5</v>
      </c>
      <c r="G794" s="135" t="s">
        <v>2258</v>
      </c>
      <c r="H794" s="131">
        <v>6138.33</v>
      </c>
    </row>
    <row r="795" spans="1:8" x14ac:dyDescent="0.2">
      <c r="B795" s="135" t="s">
        <v>2374</v>
      </c>
      <c r="C795" s="135" t="s">
        <v>547</v>
      </c>
      <c r="D795" s="135">
        <v>101524</v>
      </c>
      <c r="E795" s="135" t="s">
        <v>1098</v>
      </c>
      <c r="F795" s="135" t="s">
        <v>5</v>
      </c>
      <c r="G795" s="135" t="s">
        <v>2376</v>
      </c>
      <c r="H795" s="131">
        <v>5323.14</v>
      </c>
    </row>
    <row r="796" spans="1:8" x14ac:dyDescent="0.2">
      <c r="B796" s="135" t="s">
        <v>2374</v>
      </c>
      <c r="C796" s="135" t="s">
        <v>547</v>
      </c>
      <c r="D796" s="135">
        <v>101524</v>
      </c>
      <c r="E796" s="135" t="s">
        <v>1098</v>
      </c>
      <c r="F796" s="135" t="s">
        <v>5</v>
      </c>
      <c r="G796" s="135" t="s">
        <v>2375</v>
      </c>
      <c r="H796" s="131">
        <v>591.46</v>
      </c>
    </row>
    <row r="797" spans="1:8" x14ac:dyDescent="0.2">
      <c r="B797" s="135" t="s">
        <v>2560</v>
      </c>
      <c r="C797" s="135" t="s">
        <v>102</v>
      </c>
      <c r="D797" s="135"/>
      <c r="E797" s="135" t="s">
        <v>1098</v>
      </c>
      <c r="F797" s="135" t="s">
        <v>5</v>
      </c>
      <c r="G797" s="135" t="s">
        <v>2579</v>
      </c>
      <c r="H797" s="131">
        <v>591.46</v>
      </c>
    </row>
    <row r="798" spans="1:8" x14ac:dyDescent="0.2">
      <c r="B798" s="135" t="s">
        <v>2736</v>
      </c>
      <c r="C798" s="135" t="s">
        <v>102</v>
      </c>
      <c r="D798" s="135">
        <v>95963</v>
      </c>
      <c r="E798" s="135" t="s">
        <v>1098</v>
      </c>
      <c r="F798" s="135" t="s">
        <v>5</v>
      </c>
      <c r="G798" s="135" t="s">
        <v>2579</v>
      </c>
      <c r="H798" s="131">
        <v>591.46</v>
      </c>
    </row>
    <row r="799" spans="1:8" x14ac:dyDescent="0.2">
      <c r="A799" s="129" t="s">
        <v>2259</v>
      </c>
      <c r="H799" s="132">
        <v>13235.85</v>
      </c>
    </row>
    <row r="800" spans="1:8" x14ac:dyDescent="0.2">
      <c r="A800" s="129" t="s">
        <v>2111</v>
      </c>
      <c r="H800" s="132">
        <v>90616.58</v>
      </c>
    </row>
    <row r="801" spans="1:8" x14ac:dyDescent="0.2">
      <c r="A801" s="129" t="s">
        <v>1881</v>
      </c>
    </row>
    <row r="802" spans="1:8" x14ac:dyDescent="0.2">
      <c r="A802" s="129" t="s">
        <v>1882</v>
      </c>
    </row>
    <row r="803" spans="1:8" x14ac:dyDescent="0.2">
      <c r="B803" s="135" t="s">
        <v>832</v>
      </c>
      <c r="C803" s="135" t="s">
        <v>339</v>
      </c>
      <c r="D803" s="135" t="s">
        <v>833</v>
      </c>
      <c r="E803" s="135"/>
      <c r="F803" s="135" t="s">
        <v>5</v>
      </c>
      <c r="G803" s="135" t="s">
        <v>809</v>
      </c>
      <c r="H803" s="131">
        <v>199.68</v>
      </c>
    </row>
    <row r="804" spans="1:8" x14ac:dyDescent="0.2">
      <c r="B804" s="135" t="s">
        <v>832</v>
      </c>
      <c r="C804" s="135" t="s">
        <v>339</v>
      </c>
      <c r="D804" s="135" t="s">
        <v>835</v>
      </c>
      <c r="E804" s="135"/>
      <c r="F804" s="135" t="s">
        <v>5</v>
      </c>
      <c r="G804" s="135" t="s">
        <v>809</v>
      </c>
      <c r="H804" s="131">
        <v>-196.15</v>
      </c>
    </row>
    <row r="805" spans="1:8" x14ac:dyDescent="0.2">
      <c r="B805" s="135" t="s">
        <v>826</v>
      </c>
      <c r="C805" s="135" t="s">
        <v>339</v>
      </c>
      <c r="D805" s="135" t="s">
        <v>827</v>
      </c>
      <c r="E805" s="135"/>
      <c r="F805" s="135" t="s">
        <v>5</v>
      </c>
      <c r="G805" s="135" t="s">
        <v>828</v>
      </c>
      <c r="H805" s="131">
        <v>199.68</v>
      </c>
    </row>
    <row r="806" spans="1:8" x14ac:dyDescent="0.2">
      <c r="B806" s="135" t="s">
        <v>829</v>
      </c>
      <c r="C806" s="135" t="s">
        <v>339</v>
      </c>
      <c r="D806" s="135" t="s">
        <v>830</v>
      </c>
      <c r="E806" s="135"/>
      <c r="F806" s="135" t="s">
        <v>5</v>
      </c>
      <c r="G806" s="135" t="s">
        <v>831</v>
      </c>
      <c r="H806" s="131">
        <v>99.84</v>
      </c>
    </row>
    <row r="807" spans="1:8" x14ac:dyDescent="0.2">
      <c r="A807" s="129" t="s">
        <v>1883</v>
      </c>
      <c r="H807" s="132">
        <v>303.05</v>
      </c>
    </row>
    <row r="808" spans="1:8" x14ac:dyDescent="0.2">
      <c r="A808" s="129" t="s">
        <v>1884</v>
      </c>
      <c r="H808" s="132">
        <v>303.05</v>
      </c>
    </row>
    <row r="809" spans="1:8" x14ac:dyDescent="0.2">
      <c r="A809" s="129" t="s">
        <v>1885</v>
      </c>
      <c r="H809" s="132">
        <v>105066.88</v>
      </c>
    </row>
    <row r="810" spans="1:8" x14ac:dyDescent="0.2">
      <c r="A810" s="129" t="s">
        <v>1886</v>
      </c>
    </row>
    <row r="811" spans="1:8" x14ac:dyDescent="0.2">
      <c r="A811" s="129" t="s">
        <v>1887</v>
      </c>
    </row>
    <row r="812" spans="1:8" x14ac:dyDescent="0.2">
      <c r="B812" s="135" t="s">
        <v>1021</v>
      </c>
      <c r="C812" s="135" t="s">
        <v>102</v>
      </c>
      <c r="D812" s="135">
        <v>6007637</v>
      </c>
      <c r="E812" s="135" t="s">
        <v>1022</v>
      </c>
      <c r="F812" s="135" t="s">
        <v>5</v>
      </c>
      <c r="G812" s="135" t="s">
        <v>1023</v>
      </c>
      <c r="H812" s="131">
        <v>1010.81</v>
      </c>
    </row>
    <row r="813" spans="1:8" x14ac:dyDescent="0.2">
      <c r="B813" s="135" t="s">
        <v>1179</v>
      </c>
      <c r="C813" s="135" t="s">
        <v>102</v>
      </c>
      <c r="D813" s="135" t="s">
        <v>1180</v>
      </c>
      <c r="E813" s="135" t="s">
        <v>1022</v>
      </c>
      <c r="F813" s="135" t="s">
        <v>5</v>
      </c>
      <c r="G813" s="135" t="s">
        <v>1023</v>
      </c>
      <c r="H813" s="131">
        <v>2253.37</v>
      </c>
    </row>
    <row r="814" spans="1:8" x14ac:dyDescent="0.2">
      <c r="B814" s="135" t="s">
        <v>1659</v>
      </c>
      <c r="C814" s="135" t="s">
        <v>102</v>
      </c>
      <c r="D814" s="135">
        <v>6007637</v>
      </c>
      <c r="E814" s="135" t="s">
        <v>1022</v>
      </c>
      <c r="F814" s="135" t="s">
        <v>5</v>
      </c>
      <c r="G814" s="135" t="s">
        <v>1023</v>
      </c>
      <c r="H814" s="131">
        <v>1808.06</v>
      </c>
    </row>
    <row r="815" spans="1:8" x14ac:dyDescent="0.2">
      <c r="B815" s="135" t="s">
        <v>2112</v>
      </c>
      <c r="C815" s="135" t="s">
        <v>102</v>
      </c>
      <c r="D815" s="135">
        <v>6007637</v>
      </c>
      <c r="E815" s="135" t="s">
        <v>1022</v>
      </c>
      <c r="F815" s="135" t="s">
        <v>5</v>
      </c>
      <c r="G815" s="135" t="s">
        <v>1023</v>
      </c>
      <c r="H815" s="131">
        <v>1173.19</v>
      </c>
    </row>
    <row r="816" spans="1:8" x14ac:dyDescent="0.2">
      <c r="A816" s="129" t="s">
        <v>1888</v>
      </c>
      <c r="H816" s="132">
        <v>6245.43</v>
      </c>
    </row>
    <row r="817" spans="1:8" x14ac:dyDescent="0.2">
      <c r="A817" s="129" t="s">
        <v>1889</v>
      </c>
    </row>
    <row r="818" spans="1:8" x14ac:dyDescent="0.2">
      <c r="B818" s="135" t="s">
        <v>832</v>
      </c>
      <c r="C818" s="135" t="s">
        <v>339</v>
      </c>
      <c r="D818" s="135" t="s">
        <v>833</v>
      </c>
      <c r="E818" s="135"/>
      <c r="F818" s="135" t="s">
        <v>5</v>
      </c>
      <c r="G818" s="135" t="s">
        <v>809</v>
      </c>
      <c r="H818" s="131">
        <v>325.35000000000002</v>
      </c>
    </row>
    <row r="819" spans="1:8" x14ac:dyDescent="0.2">
      <c r="B819" s="135" t="s">
        <v>832</v>
      </c>
      <c r="C819" s="135" t="s">
        <v>339</v>
      </c>
      <c r="D819" s="135" t="s">
        <v>835</v>
      </c>
      <c r="E819" s="135"/>
      <c r="F819" s="135" t="s">
        <v>5</v>
      </c>
      <c r="G819" s="135" t="s">
        <v>809</v>
      </c>
      <c r="H819" s="131">
        <v>-217.83</v>
      </c>
    </row>
    <row r="820" spans="1:8" x14ac:dyDescent="0.2">
      <c r="B820" s="135" t="s">
        <v>826</v>
      </c>
      <c r="C820" s="135" t="s">
        <v>339</v>
      </c>
      <c r="D820" s="135" t="s">
        <v>827</v>
      </c>
      <c r="E820" s="135"/>
      <c r="F820" s="135" t="s">
        <v>5</v>
      </c>
      <c r="G820" s="135" t="s">
        <v>828</v>
      </c>
      <c r="H820" s="131">
        <v>404.5</v>
      </c>
    </row>
    <row r="821" spans="1:8" x14ac:dyDescent="0.2">
      <c r="B821" s="135" t="s">
        <v>829</v>
      </c>
      <c r="C821" s="135" t="s">
        <v>339</v>
      </c>
      <c r="D821" s="135" t="s">
        <v>830</v>
      </c>
      <c r="E821" s="135"/>
      <c r="F821" s="135" t="s">
        <v>5</v>
      </c>
      <c r="G821" s="135" t="s">
        <v>831</v>
      </c>
      <c r="H821" s="131">
        <v>411.9</v>
      </c>
    </row>
    <row r="822" spans="1:8" x14ac:dyDescent="0.2">
      <c r="B822" s="135" t="s">
        <v>1015</v>
      </c>
      <c r="C822" s="135" t="s">
        <v>339</v>
      </c>
      <c r="D822" s="135" t="s">
        <v>1016</v>
      </c>
      <c r="E822" s="135"/>
      <c r="F822" s="135" t="s">
        <v>5</v>
      </c>
      <c r="G822" s="135" t="s">
        <v>1017</v>
      </c>
      <c r="H822" s="131">
        <v>370.79</v>
      </c>
    </row>
    <row r="823" spans="1:8" x14ac:dyDescent="0.2">
      <c r="B823" s="135" t="s">
        <v>972</v>
      </c>
      <c r="C823" s="135" t="s">
        <v>339</v>
      </c>
      <c r="D823" s="135" t="s">
        <v>1018</v>
      </c>
      <c r="E823" s="135"/>
      <c r="F823" s="135" t="s">
        <v>5</v>
      </c>
      <c r="G823" s="135" t="s">
        <v>1019</v>
      </c>
      <c r="H823" s="131">
        <v>324</v>
      </c>
    </row>
    <row r="824" spans="1:8" x14ac:dyDescent="0.2">
      <c r="B824" s="135" t="s">
        <v>1173</v>
      </c>
      <c r="C824" s="135" t="s">
        <v>339</v>
      </c>
      <c r="D824" s="135" t="s">
        <v>1174</v>
      </c>
      <c r="E824" s="135"/>
      <c r="F824" s="135" t="s">
        <v>5</v>
      </c>
      <c r="G824" s="135" t="s">
        <v>1175</v>
      </c>
      <c r="H824" s="131">
        <v>299.11</v>
      </c>
    </row>
    <row r="825" spans="1:8" x14ac:dyDescent="0.2">
      <c r="B825" s="135" t="s">
        <v>1176</v>
      </c>
      <c r="C825" s="135" t="s">
        <v>339</v>
      </c>
      <c r="D825" s="135" t="s">
        <v>1177</v>
      </c>
      <c r="E825" s="135"/>
      <c r="F825" s="135" t="s">
        <v>5</v>
      </c>
      <c r="G825" s="135" t="s">
        <v>1178</v>
      </c>
      <c r="H825" s="131">
        <v>299.02</v>
      </c>
    </row>
    <row r="826" spans="1:8" x14ac:dyDescent="0.2">
      <c r="B826" s="135" t="s">
        <v>1168</v>
      </c>
      <c r="C826" s="135" t="s">
        <v>339</v>
      </c>
      <c r="D826" s="135" t="s">
        <v>1360</v>
      </c>
      <c r="E826" s="135"/>
      <c r="F826" s="135" t="s">
        <v>5</v>
      </c>
      <c r="G826" s="135" t="s">
        <v>1361</v>
      </c>
      <c r="H826" s="131">
        <v>214.32</v>
      </c>
    </row>
    <row r="827" spans="1:8" x14ac:dyDescent="0.2">
      <c r="B827" s="135" t="s">
        <v>1362</v>
      </c>
      <c r="C827" s="135" t="s">
        <v>339</v>
      </c>
      <c r="D827" s="135" t="s">
        <v>1364</v>
      </c>
      <c r="E827" s="135"/>
      <c r="F827" s="135" t="s">
        <v>5</v>
      </c>
      <c r="G827" s="135" t="s">
        <v>1361</v>
      </c>
      <c r="H827" s="131">
        <v>-214.32</v>
      </c>
    </row>
    <row r="828" spans="1:8" x14ac:dyDescent="0.2">
      <c r="B828" s="135" t="s">
        <v>1362</v>
      </c>
      <c r="C828" s="135" t="s">
        <v>339</v>
      </c>
      <c r="D828" s="135" t="s">
        <v>1363</v>
      </c>
      <c r="E828" s="135"/>
      <c r="F828" s="135" t="s">
        <v>5</v>
      </c>
      <c r="G828" s="135" t="s">
        <v>1361</v>
      </c>
      <c r="H828" s="131">
        <v>428.64</v>
      </c>
    </row>
    <row r="829" spans="1:8" x14ac:dyDescent="0.2">
      <c r="B829" s="135" t="s">
        <v>1312</v>
      </c>
      <c r="C829" s="135" t="s">
        <v>339</v>
      </c>
      <c r="D829" s="135" t="s">
        <v>1365</v>
      </c>
      <c r="E829" s="135"/>
      <c r="F829" s="135" t="s">
        <v>5</v>
      </c>
      <c r="G829" s="135" t="s">
        <v>1366</v>
      </c>
      <c r="H829" s="131">
        <v>563.26</v>
      </c>
    </row>
    <row r="830" spans="1:8" x14ac:dyDescent="0.2">
      <c r="B830" s="135" t="s">
        <v>1542</v>
      </c>
      <c r="C830" s="135" t="s">
        <v>339</v>
      </c>
      <c r="D830" s="135" t="s">
        <v>1543</v>
      </c>
      <c r="E830" s="135"/>
      <c r="F830" s="135" t="s">
        <v>5</v>
      </c>
      <c r="G830" s="135" t="s">
        <v>1544</v>
      </c>
      <c r="H830" s="131">
        <v>578.79</v>
      </c>
    </row>
    <row r="831" spans="1:8" x14ac:dyDescent="0.2">
      <c r="B831" s="135" t="s">
        <v>1545</v>
      </c>
      <c r="C831" s="135" t="s">
        <v>339</v>
      </c>
      <c r="D831" s="135" t="s">
        <v>1546</v>
      </c>
      <c r="E831" s="135"/>
      <c r="F831" s="135" t="s">
        <v>5</v>
      </c>
      <c r="G831" s="135" t="s">
        <v>1547</v>
      </c>
      <c r="H831" s="131">
        <v>604.88</v>
      </c>
    </row>
    <row r="832" spans="1:8" x14ac:dyDescent="0.2">
      <c r="B832" s="135" t="s">
        <v>1548</v>
      </c>
      <c r="C832" s="135" t="s">
        <v>339</v>
      </c>
      <c r="D832" s="135" t="s">
        <v>1549</v>
      </c>
      <c r="E832" s="135"/>
      <c r="F832" s="135" t="s">
        <v>5</v>
      </c>
      <c r="G832" s="135" t="s">
        <v>1550</v>
      </c>
      <c r="H832" s="131">
        <v>647.35</v>
      </c>
    </row>
    <row r="833" spans="2:8" x14ac:dyDescent="0.2">
      <c r="B833" s="135" t="s">
        <v>1608</v>
      </c>
      <c r="C833" s="135" t="s">
        <v>339</v>
      </c>
      <c r="D833" s="135" t="s">
        <v>1655</v>
      </c>
      <c r="E833" s="135"/>
      <c r="F833" s="135" t="s">
        <v>5</v>
      </c>
      <c r="G833" s="135" t="s">
        <v>1550</v>
      </c>
      <c r="H833" s="131">
        <v>-647.35</v>
      </c>
    </row>
    <row r="834" spans="2:8" x14ac:dyDescent="0.2">
      <c r="B834" s="135" t="s">
        <v>1608</v>
      </c>
      <c r="C834" s="135" t="s">
        <v>339</v>
      </c>
      <c r="D834" s="135" t="s">
        <v>1656</v>
      </c>
      <c r="E834" s="135"/>
      <c r="F834" s="135" t="s">
        <v>5</v>
      </c>
      <c r="G834" s="135" t="s">
        <v>1550</v>
      </c>
      <c r="H834" s="131">
        <v>647.34</v>
      </c>
    </row>
    <row r="835" spans="2:8" x14ac:dyDescent="0.2">
      <c r="B835" s="135" t="s">
        <v>1643</v>
      </c>
      <c r="C835" s="135" t="s">
        <v>339</v>
      </c>
      <c r="D835" s="135" t="s">
        <v>1644</v>
      </c>
      <c r="E835" s="135"/>
      <c r="F835" s="135" t="s">
        <v>5</v>
      </c>
      <c r="G835" s="135" t="s">
        <v>1645</v>
      </c>
      <c r="H835" s="131">
        <v>540.16</v>
      </c>
    </row>
    <row r="836" spans="2:8" x14ac:dyDescent="0.2">
      <c r="B836" s="135" t="s">
        <v>1624</v>
      </c>
      <c r="C836" s="135" t="s">
        <v>339</v>
      </c>
      <c r="D836" s="135" t="s">
        <v>1651</v>
      </c>
      <c r="E836" s="135"/>
      <c r="F836" s="135" t="s">
        <v>5</v>
      </c>
      <c r="G836" s="135" t="s">
        <v>1652</v>
      </c>
      <c r="H836" s="131">
        <v>1242.1500000000001</v>
      </c>
    </row>
    <row r="837" spans="2:8" x14ac:dyDescent="0.2">
      <c r="B837" s="135" t="s">
        <v>1789</v>
      </c>
      <c r="C837" s="135" t="s">
        <v>339</v>
      </c>
      <c r="D837" s="135" t="s">
        <v>1852</v>
      </c>
      <c r="E837" s="135"/>
      <c r="F837" s="135" t="s">
        <v>5</v>
      </c>
      <c r="G837" s="135" t="s">
        <v>1652</v>
      </c>
      <c r="H837" s="131">
        <v>1242.1500000000001</v>
      </c>
    </row>
    <row r="838" spans="2:8" x14ac:dyDescent="0.2">
      <c r="B838" s="135" t="s">
        <v>1789</v>
      </c>
      <c r="C838" s="135" t="s">
        <v>339</v>
      </c>
      <c r="D838" s="135" t="s">
        <v>1853</v>
      </c>
      <c r="E838" s="135"/>
      <c r="F838" s="135" t="s">
        <v>5</v>
      </c>
      <c r="G838" s="135" t="s">
        <v>1652</v>
      </c>
      <c r="H838" s="131">
        <v>-1242.1500000000001</v>
      </c>
    </row>
    <row r="839" spans="2:8" x14ac:dyDescent="0.2">
      <c r="B839" s="135" t="s">
        <v>1854</v>
      </c>
      <c r="C839" s="135" t="s">
        <v>339</v>
      </c>
      <c r="D839" s="135" t="s">
        <v>1855</v>
      </c>
      <c r="E839" s="135"/>
      <c r="F839" s="135" t="s">
        <v>5</v>
      </c>
      <c r="G839" s="135" t="s">
        <v>1856</v>
      </c>
      <c r="H839" s="131">
        <v>2671.73</v>
      </c>
    </row>
    <row r="840" spans="2:8" x14ac:dyDescent="0.2">
      <c r="B840" s="135" t="s">
        <v>1830</v>
      </c>
      <c r="C840" s="135" t="s">
        <v>339</v>
      </c>
      <c r="D840" s="135" t="s">
        <v>1847</v>
      </c>
      <c r="E840" s="135"/>
      <c r="F840" s="135" t="s">
        <v>5</v>
      </c>
      <c r="G840" s="135"/>
      <c r="H840" s="131">
        <v>2701.29</v>
      </c>
    </row>
    <row r="841" spans="2:8" x14ac:dyDescent="0.2">
      <c r="B841" s="135" t="s">
        <v>2097</v>
      </c>
      <c r="C841" s="135" t="s">
        <v>339</v>
      </c>
      <c r="D841" s="135" t="s">
        <v>2099</v>
      </c>
      <c r="E841" s="135"/>
      <c r="F841" s="135" t="s">
        <v>5</v>
      </c>
      <c r="G841" s="135" t="s">
        <v>2100</v>
      </c>
      <c r="H841" s="131">
        <v>2701.29</v>
      </c>
    </row>
    <row r="842" spans="2:8" x14ac:dyDescent="0.2">
      <c r="B842" s="135" t="s">
        <v>2097</v>
      </c>
      <c r="C842" s="135" t="s">
        <v>339</v>
      </c>
      <c r="D842" s="135" t="s">
        <v>2098</v>
      </c>
      <c r="E842" s="135"/>
      <c r="F842" s="135" t="s">
        <v>5</v>
      </c>
      <c r="G842" s="135"/>
      <c r="H842" s="131">
        <v>-2701.29</v>
      </c>
    </row>
    <row r="843" spans="2:8" x14ac:dyDescent="0.2">
      <c r="B843" s="135" t="s">
        <v>2101</v>
      </c>
      <c r="C843" s="135" t="s">
        <v>339</v>
      </c>
      <c r="D843" s="135" t="s">
        <v>2102</v>
      </c>
      <c r="E843" s="135"/>
      <c r="F843" s="135" t="s">
        <v>5</v>
      </c>
      <c r="G843" s="135" t="s">
        <v>2103</v>
      </c>
      <c r="H843" s="131">
        <v>2142.5100000000002</v>
      </c>
    </row>
    <row r="844" spans="2:8" x14ac:dyDescent="0.2">
      <c r="B844" s="135" t="s">
        <v>2104</v>
      </c>
      <c r="C844" s="135" t="s">
        <v>339</v>
      </c>
      <c r="D844" s="135" t="s">
        <v>2105</v>
      </c>
      <c r="E844" s="135"/>
      <c r="F844" s="135" t="s">
        <v>5</v>
      </c>
      <c r="G844" s="135" t="s">
        <v>2106</v>
      </c>
      <c r="H844" s="131">
        <v>490.53</v>
      </c>
    </row>
    <row r="845" spans="2:8" x14ac:dyDescent="0.2">
      <c r="B845" s="135" t="s">
        <v>2254</v>
      </c>
      <c r="C845" s="135" t="s">
        <v>339</v>
      </c>
      <c r="D845" s="135" t="s">
        <v>2255</v>
      </c>
      <c r="E845" s="135"/>
      <c r="F845" s="135" t="s">
        <v>5</v>
      </c>
      <c r="G845" s="135" t="s">
        <v>2256</v>
      </c>
      <c r="H845" s="131">
        <v>1056.27</v>
      </c>
    </row>
    <row r="846" spans="2:8" x14ac:dyDescent="0.2">
      <c r="B846" s="135" t="s">
        <v>2251</v>
      </c>
      <c r="C846" s="135" t="s">
        <v>339</v>
      </c>
      <c r="D846" s="135" t="s">
        <v>2252</v>
      </c>
      <c r="E846" s="135"/>
      <c r="F846" s="135" t="s">
        <v>5</v>
      </c>
      <c r="G846" s="135" t="s">
        <v>2253</v>
      </c>
      <c r="H846" s="131">
        <v>461.12</v>
      </c>
    </row>
    <row r="847" spans="2:8" ht="25" x14ac:dyDescent="0.2">
      <c r="B847" s="135" t="s">
        <v>2240</v>
      </c>
      <c r="C847" s="135" t="s">
        <v>339</v>
      </c>
      <c r="D847" s="135" t="s">
        <v>2365</v>
      </c>
      <c r="E847" s="135"/>
      <c r="F847" s="135" t="s">
        <v>5</v>
      </c>
      <c r="G847" s="135" t="s">
        <v>2366</v>
      </c>
      <c r="H847" s="131">
        <v>168.24</v>
      </c>
    </row>
    <row r="848" spans="2:8" ht="25" x14ac:dyDescent="0.2">
      <c r="B848" s="135" t="s">
        <v>2340</v>
      </c>
      <c r="C848" s="135" t="s">
        <v>339</v>
      </c>
      <c r="D848" s="135" t="s">
        <v>2369</v>
      </c>
      <c r="E848" s="135"/>
      <c r="F848" s="135" t="s">
        <v>5</v>
      </c>
      <c r="G848" s="135" t="s">
        <v>2366</v>
      </c>
      <c r="H848" s="131">
        <v>-168.24</v>
      </c>
    </row>
    <row r="849" spans="1:8" x14ac:dyDescent="0.2">
      <c r="B849" s="135" t="s">
        <v>2340</v>
      </c>
      <c r="C849" s="135" t="s">
        <v>339</v>
      </c>
      <c r="D849" s="135" t="s">
        <v>2367</v>
      </c>
      <c r="E849" s="135"/>
      <c r="F849" s="135" t="s">
        <v>5</v>
      </c>
      <c r="G849" s="135" t="s">
        <v>2368</v>
      </c>
      <c r="H849" s="131">
        <v>420.61</v>
      </c>
    </row>
    <row r="850" spans="1:8" x14ac:dyDescent="0.2">
      <c r="B850" s="135" t="s">
        <v>2361</v>
      </c>
      <c r="C850" s="135" t="s">
        <v>339</v>
      </c>
      <c r="D850" s="135" t="s">
        <v>2362</v>
      </c>
      <c r="E850" s="135"/>
      <c r="F850" s="135" t="s">
        <v>5</v>
      </c>
      <c r="G850" s="135" t="s">
        <v>2363</v>
      </c>
      <c r="H850" s="131">
        <v>353.42</v>
      </c>
    </row>
    <row r="851" spans="1:8" x14ac:dyDescent="0.2">
      <c r="B851" s="135" t="s">
        <v>2370</v>
      </c>
      <c r="C851" s="135" t="s">
        <v>339</v>
      </c>
      <c r="D851" s="135" t="s">
        <v>2371</v>
      </c>
      <c r="E851" s="135"/>
      <c r="F851" s="135" t="s">
        <v>5</v>
      </c>
      <c r="G851" s="135" t="s">
        <v>2372</v>
      </c>
      <c r="H851" s="131">
        <v>364.03</v>
      </c>
    </row>
    <row r="852" spans="1:8" x14ac:dyDescent="0.2">
      <c r="B852" s="135" t="s">
        <v>2553</v>
      </c>
      <c r="C852" s="135" t="s">
        <v>339</v>
      </c>
      <c r="D852" s="135" t="s">
        <v>2568</v>
      </c>
      <c r="E852" s="135"/>
      <c r="F852" s="135" t="s">
        <v>5</v>
      </c>
      <c r="G852" s="135" t="s">
        <v>2372</v>
      </c>
      <c r="H852" s="131">
        <v>-364.03</v>
      </c>
    </row>
    <row r="853" spans="1:8" x14ac:dyDescent="0.2">
      <c r="B853" s="135" t="s">
        <v>2553</v>
      </c>
      <c r="C853" s="135" t="s">
        <v>339</v>
      </c>
      <c r="D853" s="135" t="s">
        <v>2566</v>
      </c>
      <c r="E853" s="135"/>
      <c r="F853" s="135" t="s">
        <v>5</v>
      </c>
      <c r="G853" s="135" t="s">
        <v>2567</v>
      </c>
      <c r="H853" s="131">
        <v>404.48</v>
      </c>
    </row>
    <row r="854" spans="1:8" x14ac:dyDescent="0.2">
      <c r="B854" s="135" t="s">
        <v>2569</v>
      </c>
      <c r="C854" s="135" t="s">
        <v>339</v>
      </c>
      <c r="D854" s="135" t="s">
        <v>2570</v>
      </c>
      <c r="E854" s="135"/>
      <c r="F854" s="135" t="s">
        <v>5</v>
      </c>
      <c r="G854" s="135" t="s">
        <v>2571</v>
      </c>
      <c r="H854" s="131">
        <v>334.24</v>
      </c>
    </row>
    <row r="855" spans="1:8" x14ac:dyDescent="0.2">
      <c r="B855" s="135" t="s">
        <v>2548</v>
      </c>
      <c r="C855" s="135" t="s">
        <v>339</v>
      </c>
      <c r="D855" s="135" t="s">
        <v>2572</v>
      </c>
      <c r="E855" s="135"/>
      <c r="F855" s="135" t="s">
        <v>5</v>
      </c>
      <c r="G855" s="135" t="s">
        <v>2573</v>
      </c>
      <c r="H855" s="131">
        <v>218.2</v>
      </c>
    </row>
    <row r="856" spans="1:8" x14ac:dyDescent="0.2">
      <c r="B856" s="135" t="s">
        <v>2737</v>
      </c>
      <c r="C856" s="135" t="s">
        <v>339</v>
      </c>
      <c r="D856" s="135" t="s">
        <v>2753</v>
      </c>
      <c r="E856" s="135"/>
      <c r="F856" s="135" t="s">
        <v>5</v>
      </c>
      <c r="G856" s="135" t="s">
        <v>2754</v>
      </c>
      <c r="H856" s="131">
        <v>242.44</v>
      </c>
    </row>
    <row r="857" spans="1:8" x14ac:dyDescent="0.2">
      <c r="B857" s="135" t="s">
        <v>2755</v>
      </c>
      <c r="C857" s="135" t="s">
        <v>339</v>
      </c>
      <c r="D857" s="135" t="s">
        <v>2756</v>
      </c>
      <c r="E857" s="135"/>
      <c r="F857" s="135" t="s">
        <v>5</v>
      </c>
      <c r="G857" s="135" t="s">
        <v>2573</v>
      </c>
      <c r="H857" s="131">
        <v>-218.2</v>
      </c>
    </row>
    <row r="858" spans="1:8" x14ac:dyDescent="0.2">
      <c r="B858" s="135" t="s">
        <v>2757</v>
      </c>
      <c r="C858" s="135" t="s">
        <v>339</v>
      </c>
      <c r="D858" s="135" t="s">
        <v>2758</v>
      </c>
      <c r="E858" s="135"/>
      <c r="F858" s="135" t="s">
        <v>5</v>
      </c>
      <c r="G858" s="135" t="s">
        <v>2759</v>
      </c>
      <c r="H858" s="131">
        <v>249.45</v>
      </c>
    </row>
    <row r="859" spans="1:8" x14ac:dyDescent="0.2">
      <c r="B859" s="135" t="s">
        <v>2741</v>
      </c>
      <c r="C859" s="135" t="s">
        <v>339</v>
      </c>
      <c r="D859" s="135" t="s">
        <v>2760</v>
      </c>
      <c r="E859" s="135"/>
      <c r="F859" s="135" t="s">
        <v>5</v>
      </c>
      <c r="G859" s="135" t="s">
        <v>2761</v>
      </c>
      <c r="H859" s="131">
        <v>363.25</v>
      </c>
    </row>
    <row r="860" spans="1:8" x14ac:dyDescent="0.2">
      <c r="B860" s="135" t="s">
        <v>2741</v>
      </c>
      <c r="C860" s="135" t="s">
        <v>339</v>
      </c>
      <c r="D860" s="135" t="s">
        <v>2760</v>
      </c>
      <c r="E860" s="135"/>
      <c r="F860" s="135" t="s">
        <v>5</v>
      </c>
      <c r="G860" s="135" t="s">
        <v>2761</v>
      </c>
      <c r="H860" s="131">
        <v>218.2</v>
      </c>
    </row>
    <row r="861" spans="1:8" x14ac:dyDescent="0.2">
      <c r="A861" s="129" t="s">
        <v>1890</v>
      </c>
      <c r="H861" s="132">
        <v>18931.599999999999</v>
      </c>
    </row>
    <row r="862" spans="1:8" x14ac:dyDescent="0.2">
      <c r="A862" s="129" t="s">
        <v>1894</v>
      </c>
    </row>
    <row r="863" spans="1:8" x14ac:dyDescent="0.2">
      <c r="B863" s="135" t="s">
        <v>836</v>
      </c>
      <c r="C863" s="135" t="s">
        <v>102</v>
      </c>
      <c r="D863" s="135"/>
      <c r="E863" s="135" t="s">
        <v>798</v>
      </c>
      <c r="F863" s="135" t="s">
        <v>5</v>
      </c>
      <c r="G863" s="135" t="s">
        <v>799</v>
      </c>
      <c r="H863" s="131">
        <v>1440</v>
      </c>
    </row>
    <row r="864" spans="1:8" x14ac:dyDescent="0.2">
      <c r="B864" s="135" t="s">
        <v>1190</v>
      </c>
      <c r="C864" s="135" t="s">
        <v>3</v>
      </c>
      <c r="D864" s="135"/>
      <c r="E864" s="135" t="s">
        <v>1191</v>
      </c>
      <c r="F864" s="135" t="s">
        <v>5</v>
      </c>
      <c r="G864" s="135"/>
      <c r="H864" s="131">
        <v>25</v>
      </c>
    </row>
    <row r="865" spans="1:8" x14ac:dyDescent="0.2">
      <c r="B865" s="135" t="s">
        <v>2380</v>
      </c>
      <c r="C865" s="135" t="s">
        <v>3</v>
      </c>
      <c r="D865" s="135"/>
      <c r="E865" s="135" t="s">
        <v>2381</v>
      </c>
      <c r="F865" s="135" t="s">
        <v>5</v>
      </c>
      <c r="G865" s="135"/>
      <c r="H865" s="131">
        <v>3330</v>
      </c>
    </row>
    <row r="866" spans="1:8" x14ac:dyDescent="0.2">
      <c r="A866" s="129" t="s">
        <v>1895</v>
      </c>
      <c r="H866" s="132">
        <v>4795</v>
      </c>
    </row>
    <row r="867" spans="1:8" x14ac:dyDescent="0.2">
      <c r="A867" s="129" t="s">
        <v>1896</v>
      </c>
    </row>
    <row r="868" spans="1:8" x14ac:dyDescent="0.2">
      <c r="B868" s="135" t="s">
        <v>832</v>
      </c>
      <c r="C868" s="135" t="s">
        <v>3</v>
      </c>
      <c r="D868" s="135"/>
      <c r="E868" s="135" t="s">
        <v>725</v>
      </c>
      <c r="F868" s="135" t="s">
        <v>5</v>
      </c>
      <c r="G868" s="135"/>
      <c r="H868" s="131">
        <v>63.2</v>
      </c>
    </row>
    <row r="869" spans="1:8" x14ac:dyDescent="0.2">
      <c r="B869" s="135" t="s">
        <v>826</v>
      </c>
      <c r="C869" s="135" t="s">
        <v>3</v>
      </c>
      <c r="D869" s="135"/>
      <c r="E869" s="135" t="s">
        <v>725</v>
      </c>
      <c r="F869" s="135" t="s">
        <v>5</v>
      </c>
      <c r="G869" s="135"/>
      <c r="H869" s="131">
        <v>237.34</v>
      </c>
    </row>
    <row r="870" spans="1:8" x14ac:dyDescent="0.2">
      <c r="B870" s="135" t="s">
        <v>824</v>
      </c>
      <c r="C870" s="135" t="s">
        <v>339</v>
      </c>
      <c r="D870" s="135" t="s">
        <v>837</v>
      </c>
      <c r="E870" s="135"/>
      <c r="F870" s="135" t="s">
        <v>5</v>
      </c>
      <c r="G870" s="135" t="s">
        <v>546</v>
      </c>
      <c r="H870" s="131">
        <v>31.2</v>
      </c>
    </row>
    <row r="871" spans="1:8" x14ac:dyDescent="0.2">
      <c r="B871" s="135" t="s">
        <v>1029</v>
      </c>
      <c r="C871" s="135" t="s">
        <v>3</v>
      </c>
      <c r="D871" s="135"/>
      <c r="E871" s="135" t="s">
        <v>725</v>
      </c>
      <c r="F871" s="135" t="s">
        <v>5</v>
      </c>
      <c r="G871" s="135"/>
      <c r="H871" s="131">
        <v>53.59</v>
      </c>
    </row>
    <row r="872" spans="1:8" x14ac:dyDescent="0.2">
      <c r="B872" s="135" t="s">
        <v>1030</v>
      </c>
      <c r="C872" s="135" t="s">
        <v>3</v>
      </c>
      <c r="D872" s="135"/>
      <c r="E872" s="135" t="s">
        <v>725</v>
      </c>
      <c r="F872" s="135" t="s">
        <v>5</v>
      </c>
      <c r="G872" s="135"/>
      <c r="H872" s="131">
        <v>51.9</v>
      </c>
    </row>
    <row r="873" spans="1:8" x14ac:dyDescent="0.2">
      <c r="B873" s="135" t="s">
        <v>972</v>
      </c>
      <c r="C873" s="135" t="s">
        <v>339</v>
      </c>
      <c r="D873" s="135" t="s">
        <v>1031</v>
      </c>
      <c r="E873" s="135"/>
      <c r="F873" s="135" t="s">
        <v>5</v>
      </c>
      <c r="G873" s="135" t="s">
        <v>546</v>
      </c>
      <c r="H873" s="131">
        <v>31.2</v>
      </c>
    </row>
    <row r="874" spans="1:8" x14ac:dyDescent="0.2">
      <c r="B874" s="135" t="s">
        <v>1161</v>
      </c>
      <c r="C874" s="135" t="s">
        <v>3</v>
      </c>
      <c r="D874" s="135"/>
      <c r="E874" s="135" t="s">
        <v>725</v>
      </c>
      <c r="F874" s="135" t="s">
        <v>5</v>
      </c>
      <c r="G874" s="135"/>
      <c r="H874" s="131">
        <v>51.9</v>
      </c>
    </row>
    <row r="875" spans="1:8" x14ac:dyDescent="0.2">
      <c r="B875" s="135" t="s">
        <v>1176</v>
      </c>
      <c r="C875" s="135" t="s">
        <v>3</v>
      </c>
      <c r="D875" s="135"/>
      <c r="E875" s="135" t="s">
        <v>725</v>
      </c>
      <c r="F875" s="135" t="s">
        <v>5</v>
      </c>
      <c r="G875" s="135"/>
      <c r="H875" s="131">
        <v>51.9</v>
      </c>
    </row>
    <row r="876" spans="1:8" x14ac:dyDescent="0.2">
      <c r="B876" s="135" t="s">
        <v>1192</v>
      </c>
      <c r="C876" s="135" t="s">
        <v>3</v>
      </c>
      <c r="D876" s="135"/>
      <c r="E876" s="135" t="s">
        <v>725</v>
      </c>
      <c r="F876" s="135" t="s">
        <v>5</v>
      </c>
      <c r="G876" s="135"/>
      <c r="H876" s="131">
        <v>51.9</v>
      </c>
    </row>
    <row r="877" spans="1:8" x14ac:dyDescent="0.2">
      <c r="B877" s="135" t="s">
        <v>1168</v>
      </c>
      <c r="C877" s="135" t="s">
        <v>339</v>
      </c>
      <c r="D877" s="135" t="s">
        <v>1193</v>
      </c>
      <c r="E877" s="135"/>
      <c r="F877" s="135" t="s">
        <v>5</v>
      </c>
      <c r="G877" s="135" t="s">
        <v>546</v>
      </c>
      <c r="H877" s="131">
        <v>31.2</v>
      </c>
    </row>
    <row r="878" spans="1:8" x14ac:dyDescent="0.2">
      <c r="B878" s="135" t="s">
        <v>1296</v>
      </c>
      <c r="C878" s="135" t="s">
        <v>3</v>
      </c>
      <c r="D878" s="135"/>
      <c r="E878" s="135" t="s">
        <v>725</v>
      </c>
      <c r="F878" s="135" t="s">
        <v>5</v>
      </c>
      <c r="G878" s="135"/>
      <c r="H878" s="131">
        <v>60.02</v>
      </c>
    </row>
    <row r="879" spans="1:8" x14ac:dyDescent="0.2">
      <c r="B879" s="135" t="s">
        <v>1312</v>
      </c>
      <c r="C879" s="135" t="s">
        <v>3</v>
      </c>
      <c r="D879" s="135"/>
      <c r="E879" s="135" t="s">
        <v>725</v>
      </c>
      <c r="F879" s="135" t="s">
        <v>5</v>
      </c>
      <c r="G879" s="135"/>
      <c r="H879" s="131">
        <v>51.9</v>
      </c>
    </row>
    <row r="880" spans="1:8" x14ac:dyDescent="0.2">
      <c r="B880" s="135" t="s">
        <v>1369</v>
      </c>
      <c r="C880" s="135" t="s">
        <v>339</v>
      </c>
      <c r="D880" s="135" t="s">
        <v>1372</v>
      </c>
      <c r="E880" s="135"/>
      <c r="F880" s="135" t="s">
        <v>5</v>
      </c>
      <c r="G880" s="135" t="s">
        <v>546</v>
      </c>
      <c r="H880" s="131">
        <v>31.2</v>
      </c>
    </row>
    <row r="881" spans="2:8" x14ac:dyDescent="0.2">
      <c r="B881" s="135" t="s">
        <v>1542</v>
      </c>
      <c r="C881" s="135" t="s">
        <v>3</v>
      </c>
      <c r="D881" s="135"/>
      <c r="E881" s="135" t="s">
        <v>725</v>
      </c>
      <c r="F881" s="135" t="s">
        <v>5</v>
      </c>
      <c r="G881" s="135"/>
      <c r="H881" s="131">
        <v>55.09</v>
      </c>
    </row>
    <row r="882" spans="2:8" x14ac:dyDescent="0.2">
      <c r="B882" s="135" t="s">
        <v>1545</v>
      </c>
      <c r="C882" s="135" t="s">
        <v>3</v>
      </c>
      <c r="D882" s="135"/>
      <c r="E882" s="135" t="s">
        <v>725</v>
      </c>
      <c r="F882" s="135" t="s">
        <v>5</v>
      </c>
      <c r="G882" s="135"/>
      <c r="H882" s="131">
        <v>56.89</v>
      </c>
    </row>
    <row r="883" spans="2:8" x14ac:dyDescent="0.2">
      <c r="B883" s="135" t="s">
        <v>1548</v>
      </c>
      <c r="C883" s="135" t="s">
        <v>339</v>
      </c>
      <c r="D883" s="135" t="s">
        <v>1552</v>
      </c>
      <c r="E883" s="135"/>
      <c r="F883" s="135" t="s">
        <v>5</v>
      </c>
      <c r="G883" s="135" t="s">
        <v>546</v>
      </c>
      <c r="H883" s="131">
        <v>31.2</v>
      </c>
    </row>
    <row r="884" spans="2:8" x14ac:dyDescent="0.2">
      <c r="B884" s="135" t="s">
        <v>1608</v>
      </c>
      <c r="C884" s="135" t="s">
        <v>3</v>
      </c>
      <c r="D884" s="135"/>
      <c r="E884" s="135" t="s">
        <v>725</v>
      </c>
      <c r="F884" s="135" t="s">
        <v>5</v>
      </c>
      <c r="G884" s="135"/>
      <c r="H884" s="131">
        <v>56.89</v>
      </c>
    </row>
    <row r="885" spans="2:8" x14ac:dyDescent="0.2">
      <c r="B885" s="135" t="s">
        <v>1643</v>
      </c>
      <c r="C885" s="135" t="s">
        <v>3</v>
      </c>
      <c r="D885" s="135"/>
      <c r="E885" s="135" t="s">
        <v>725</v>
      </c>
      <c r="F885" s="135" t="s">
        <v>5</v>
      </c>
      <c r="G885" s="135"/>
      <c r="H885" s="131">
        <v>56.89</v>
      </c>
    </row>
    <row r="886" spans="2:8" x14ac:dyDescent="0.2">
      <c r="B886" s="135" t="s">
        <v>1624</v>
      </c>
      <c r="C886" s="135" t="s">
        <v>339</v>
      </c>
      <c r="D886" s="135" t="s">
        <v>1663</v>
      </c>
      <c r="E886" s="135"/>
      <c r="F886" s="135" t="s">
        <v>5</v>
      </c>
      <c r="G886" s="135" t="s">
        <v>546</v>
      </c>
      <c r="H886" s="131">
        <v>31.2</v>
      </c>
    </row>
    <row r="887" spans="2:8" x14ac:dyDescent="0.2">
      <c r="B887" s="135" t="s">
        <v>1789</v>
      </c>
      <c r="C887" s="135" t="s">
        <v>3</v>
      </c>
      <c r="D887" s="135"/>
      <c r="E887" s="135" t="s">
        <v>725</v>
      </c>
      <c r="F887" s="135" t="s">
        <v>5</v>
      </c>
      <c r="G887" s="135"/>
      <c r="H887" s="131">
        <v>128.71</v>
      </c>
    </row>
    <row r="888" spans="2:8" x14ac:dyDescent="0.2">
      <c r="B888" s="135" t="s">
        <v>1854</v>
      </c>
      <c r="C888" s="135" t="s">
        <v>3</v>
      </c>
      <c r="D888" s="135"/>
      <c r="E888" s="135" t="s">
        <v>725</v>
      </c>
      <c r="F888" s="135" t="s">
        <v>5</v>
      </c>
      <c r="G888" s="135"/>
      <c r="H888" s="131">
        <v>88.31</v>
      </c>
    </row>
    <row r="889" spans="2:8" x14ac:dyDescent="0.2">
      <c r="B889" s="135" t="s">
        <v>1830</v>
      </c>
      <c r="C889" s="135" t="s">
        <v>339</v>
      </c>
      <c r="D889" s="135" t="s">
        <v>1897</v>
      </c>
      <c r="E889" s="135"/>
      <c r="F889" s="135" t="s">
        <v>5</v>
      </c>
      <c r="G889" s="135" t="s">
        <v>546</v>
      </c>
      <c r="H889" s="131">
        <v>31.2</v>
      </c>
    </row>
    <row r="890" spans="2:8" x14ac:dyDescent="0.2">
      <c r="B890" s="135" t="s">
        <v>2097</v>
      </c>
      <c r="C890" s="135" t="s">
        <v>3</v>
      </c>
      <c r="D890" s="135"/>
      <c r="E890" s="135" t="s">
        <v>725</v>
      </c>
      <c r="F890" s="135" t="s">
        <v>5</v>
      </c>
      <c r="G890" s="135"/>
      <c r="H890" s="131">
        <v>99.63</v>
      </c>
    </row>
    <row r="891" spans="2:8" x14ac:dyDescent="0.2">
      <c r="B891" s="135" t="s">
        <v>2113</v>
      </c>
      <c r="C891" s="135" t="s">
        <v>3</v>
      </c>
      <c r="D891" s="135"/>
      <c r="E891" s="135" t="s">
        <v>725</v>
      </c>
      <c r="F891" s="135" t="s">
        <v>5</v>
      </c>
      <c r="G891" s="135"/>
      <c r="H891" s="131">
        <v>85.76</v>
      </c>
    </row>
    <row r="892" spans="2:8" x14ac:dyDescent="0.2">
      <c r="B892" s="135" t="s">
        <v>2104</v>
      </c>
      <c r="C892" s="135" t="s">
        <v>3</v>
      </c>
      <c r="D892" s="135"/>
      <c r="E892" s="135" t="s">
        <v>725</v>
      </c>
      <c r="F892" s="135" t="s">
        <v>5</v>
      </c>
      <c r="G892" s="135"/>
      <c r="H892" s="131">
        <v>75.09</v>
      </c>
    </row>
    <row r="893" spans="2:8" x14ac:dyDescent="0.2">
      <c r="B893" s="135" t="s">
        <v>2081</v>
      </c>
      <c r="C893" s="135" t="s">
        <v>339</v>
      </c>
      <c r="D893" s="135" t="s">
        <v>2114</v>
      </c>
      <c r="E893" s="135"/>
      <c r="F893" s="135" t="s">
        <v>5</v>
      </c>
      <c r="G893" s="135" t="s">
        <v>546</v>
      </c>
      <c r="H893" s="131">
        <v>31.2</v>
      </c>
    </row>
    <row r="894" spans="2:8" x14ac:dyDescent="0.2">
      <c r="B894" s="135" t="s">
        <v>2263</v>
      </c>
      <c r="C894" s="135" t="s">
        <v>3</v>
      </c>
      <c r="D894" s="135"/>
      <c r="E894" s="135" t="s">
        <v>725</v>
      </c>
      <c r="F894" s="135" t="s">
        <v>5</v>
      </c>
      <c r="G894" s="135"/>
      <c r="H894" s="131">
        <v>55.09</v>
      </c>
    </row>
    <row r="895" spans="2:8" x14ac:dyDescent="0.2">
      <c r="B895" s="135" t="s">
        <v>2251</v>
      </c>
      <c r="C895" s="135" t="s">
        <v>3</v>
      </c>
      <c r="D895" s="135"/>
      <c r="E895" s="135" t="s">
        <v>725</v>
      </c>
      <c r="F895" s="135" t="s">
        <v>5</v>
      </c>
      <c r="G895" s="135"/>
      <c r="H895" s="131">
        <v>75.09</v>
      </c>
    </row>
    <row r="896" spans="2:8" x14ac:dyDescent="0.2">
      <c r="B896" s="135" t="s">
        <v>2240</v>
      </c>
      <c r="C896" s="135" t="s">
        <v>339</v>
      </c>
      <c r="D896" s="135" t="s">
        <v>2264</v>
      </c>
      <c r="E896" s="135"/>
      <c r="F896" s="135" t="s">
        <v>5</v>
      </c>
      <c r="G896" s="135" t="s">
        <v>546</v>
      </c>
      <c r="H896" s="131">
        <v>31.2</v>
      </c>
    </row>
    <row r="897" spans="1:8" x14ac:dyDescent="0.2">
      <c r="B897" s="135" t="s">
        <v>2382</v>
      </c>
      <c r="C897" s="135" t="s">
        <v>3</v>
      </c>
      <c r="D897" s="135"/>
      <c r="E897" s="135" t="s">
        <v>725</v>
      </c>
      <c r="F897" s="135" t="s">
        <v>5</v>
      </c>
      <c r="G897" s="135"/>
      <c r="H897" s="131">
        <v>62.28</v>
      </c>
    </row>
    <row r="898" spans="1:8" x14ac:dyDescent="0.2">
      <c r="B898" s="135" t="s">
        <v>2361</v>
      </c>
      <c r="C898" s="135" t="s">
        <v>3</v>
      </c>
      <c r="D898" s="135"/>
      <c r="E898" s="135" t="s">
        <v>725</v>
      </c>
      <c r="F898" s="135" t="s">
        <v>5</v>
      </c>
      <c r="G898" s="135"/>
      <c r="H898" s="131">
        <v>73.28</v>
      </c>
    </row>
    <row r="899" spans="1:8" x14ac:dyDescent="0.2">
      <c r="B899" s="135" t="s">
        <v>2370</v>
      </c>
      <c r="C899" s="135" t="s">
        <v>339</v>
      </c>
      <c r="D899" s="135" t="s">
        <v>2383</v>
      </c>
      <c r="E899" s="135"/>
      <c r="F899" s="135" t="s">
        <v>5</v>
      </c>
      <c r="G899" s="135" t="s">
        <v>546</v>
      </c>
      <c r="H899" s="131">
        <v>31.2</v>
      </c>
    </row>
    <row r="900" spans="1:8" x14ac:dyDescent="0.2">
      <c r="B900" s="135" t="s">
        <v>2553</v>
      </c>
      <c r="C900" s="135" t="s">
        <v>3</v>
      </c>
      <c r="D900" s="135"/>
      <c r="E900" s="135" t="s">
        <v>725</v>
      </c>
      <c r="F900" s="135" t="s">
        <v>5</v>
      </c>
      <c r="G900" s="135"/>
      <c r="H900" s="131">
        <v>53.28</v>
      </c>
    </row>
    <row r="901" spans="1:8" x14ac:dyDescent="0.2">
      <c r="B901" s="135" t="s">
        <v>2569</v>
      </c>
      <c r="C901" s="135" t="s">
        <v>3</v>
      </c>
      <c r="D901" s="135"/>
      <c r="E901" s="135" t="s">
        <v>725</v>
      </c>
      <c r="F901" s="135" t="s">
        <v>5</v>
      </c>
      <c r="G901" s="135"/>
      <c r="H901" s="131">
        <v>73.28</v>
      </c>
    </row>
    <row r="902" spans="1:8" x14ac:dyDescent="0.2">
      <c r="B902" s="135" t="s">
        <v>2548</v>
      </c>
      <c r="C902" s="135" t="s">
        <v>339</v>
      </c>
      <c r="D902" s="135" t="s">
        <v>2580</v>
      </c>
      <c r="E902" s="135"/>
      <c r="F902" s="135" t="s">
        <v>5</v>
      </c>
      <c r="G902" s="135" t="s">
        <v>546</v>
      </c>
      <c r="H902" s="131">
        <v>31.2</v>
      </c>
    </row>
    <row r="903" spans="1:8" x14ac:dyDescent="0.2">
      <c r="B903" s="135" t="s">
        <v>2737</v>
      </c>
      <c r="C903" s="135" t="s">
        <v>3</v>
      </c>
      <c r="D903" s="135"/>
      <c r="E903" s="135" t="s">
        <v>725</v>
      </c>
      <c r="F903" s="135" t="s">
        <v>5</v>
      </c>
      <c r="G903" s="135"/>
      <c r="H903" s="131">
        <v>53.28</v>
      </c>
    </row>
    <row r="904" spans="1:8" x14ac:dyDescent="0.2">
      <c r="B904" s="135" t="s">
        <v>2757</v>
      </c>
      <c r="C904" s="135" t="s">
        <v>3</v>
      </c>
      <c r="D904" s="135"/>
      <c r="E904" s="135" t="s">
        <v>725</v>
      </c>
      <c r="F904" s="135" t="s">
        <v>5</v>
      </c>
      <c r="G904" s="135"/>
      <c r="H904" s="131">
        <v>55.46</v>
      </c>
    </row>
    <row r="905" spans="1:8" x14ac:dyDescent="0.2">
      <c r="B905" s="135" t="s">
        <v>2741</v>
      </c>
      <c r="C905" s="135" t="s">
        <v>339</v>
      </c>
      <c r="D905" s="135" t="s">
        <v>2762</v>
      </c>
      <c r="E905" s="135"/>
      <c r="F905" s="135" t="s">
        <v>5</v>
      </c>
      <c r="G905" s="135" t="s">
        <v>546</v>
      </c>
      <c r="H905" s="131">
        <v>31.2</v>
      </c>
    </row>
    <row r="906" spans="1:8" x14ac:dyDescent="0.2">
      <c r="A906" s="129" t="s">
        <v>1898</v>
      </c>
      <c r="H906" s="132">
        <v>2252.35</v>
      </c>
    </row>
    <row r="907" spans="1:8" x14ac:dyDescent="0.2">
      <c r="A907" s="129" t="s">
        <v>1899</v>
      </c>
    </row>
    <row r="908" spans="1:8" x14ac:dyDescent="0.2">
      <c r="B908" s="135" t="s">
        <v>832</v>
      </c>
      <c r="C908" s="135" t="s">
        <v>339</v>
      </c>
      <c r="D908" s="135" t="s">
        <v>833</v>
      </c>
      <c r="E908" s="135"/>
      <c r="F908" s="135" t="s">
        <v>5</v>
      </c>
      <c r="G908" s="135" t="s">
        <v>809</v>
      </c>
      <c r="H908" s="131">
        <v>11.24</v>
      </c>
    </row>
    <row r="909" spans="1:8" x14ac:dyDescent="0.2">
      <c r="B909" s="135" t="s">
        <v>826</v>
      </c>
      <c r="C909" s="135" t="s">
        <v>339</v>
      </c>
      <c r="D909" s="135" t="s">
        <v>827</v>
      </c>
      <c r="E909" s="135"/>
      <c r="F909" s="135" t="s">
        <v>5</v>
      </c>
      <c r="G909" s="135" t="s">
        <v>828</v>
      </c>
      <c r="H909" s="131">
        <v>21.21</v>
      </c>
    </row>
    <row r="910" spans="1:8" x14ac:dyDescent="0.2">
      <c r="B910" s="135" t="s">
        <v>1173</v>
      </c>
      <c r="C910" s="135" t="s">
        <v>339</v>
      </c>
      <c r="D910" s="135" t="s">
        <v>1174</v>
      </c>
      <c r="E910" s="135"/>
      <c r="F910" s="135" t="s">
        <v>5</v>
      </c>
      <c r="G910" s="135" t="s">
        <v>1175</v>
      </c>
      <c r="H910" s="131">
        <v>-4.43</v>
      </c>
    </row>
    <row r="911" spans="1:8" x14ac:dyDescent="0.2">
      <c r="B911" s="135" t="s">
        <v>1176</v>
      </c>
      <c r="C911" s="135" t="s">
        <v>339</v>
      </c>
      <c r="D911" s="135" t="s">
        <v>1177</v>
      </c>
      <c r="E911" s="135"/>
      <c r="F911" s="135" t="s">
        <v>5</v>
      </c>
      <c r="G911" s="135" t="s">
        <v>1178</v>
      </c>
      <c r="H911" s="131">
        <v>-13.27</v>
      </c>
    </row>
    <row r="912" spans="1:8" x14ac:dyDescent="0.2">
      <c r="B912" s="135" t="s">
        <v>1362</v>
      </c>
      <c r="C912" s="135" t="s">
        <v>339</v>
      </c>
      <c r="D912" s="135" t="s">
        <v>1363</v>
      </c>
      <c r="E912" s="135"/>
      <c r="F912" s="135" t="s">
        <v>5</v>
      </c>
      <c r="G912" s="135" t="s">
        <v>1361</v>
      </c>
      <c r="H912" s="131">
        <v>-17.48</v>
      </c>
    </row>
    <row r="913" spans="2:8" x14ac:dyDescent="0.2">
      <c r="B913" s="135" t="s">
        <v>1362</v>
      </c>
      <c r="C913" s="135" t="s">
        <v>339</v>
      </c>
      <c r="D913" s="135" t="s">
        <v>1363</v>
      </c>
      <c r="E913" s="135"/>
      <c r="F913" s="135" t="s">
        <v>5</v>
      </c>
      <c r="G913" s="135" t="s">
        <v>1361</v>
      </c>
      <c r="H913" s="131">
        <v>83.63</v>
      </c>
    </row>
    <row r="914" spans="2:8" x14ac:dyDescent="0.2">
      <c r="B914" s="135" t="s">
        <v>1312</v>
      </c>
      <c r="C914" s="135" t="s">
        <v>339</v>
      </c>
      <c r="D914" s="135" t="s">
        <v>1365</v>
      </c>
      <c r="E914" s="135"/>
      <c r="F914" s="135" t="s">
        <v>5</v>
      </c>
      <c r="G914" s="135" t="s">
        <v>1366</v>
      </c>
      <c r="H914" s="131">
        <v>134.16999999999999</v>
      </c>
    </row>
    <row r="915" spans="2:8" x14ac:dyDescent="0.2">
      <c r="B915" s="135" t="s">
        <v>1312</v>
      </c>
      <c r="C915" s="135" t="s">
        <v>339</v>
      </c>
      <c r="D915" s="135" t="s">
        <v>1365</v>
      </c>
      <c r="E915" s="135"/>
      <c r="F915" s="135" t="s">
        <v>5</v>
      </c>
      <c r="G915" s="135" t="s">
        <v>1366</v>
      </c>
      <c r="H915" s="131">
        <v>-21.39</v>
      </c>
    </row>
    <row r="916" spans="2:8" x14ac:dyDescent="0.2">
      <c r="B916" s="135" t="s">
        <v>1542</v>
      </c>
      <c r="C916" s="135" t="s">
        <v>339</v>
      </c>
      <c r="D916" s="135" t="s">
        <v>1543</v>
      </c>
      <c r="E916" s="135"/>
      <c r="F916" s="135" t="s">
        <v>5</v>
      </c>
      <c r="G916" s="135" t="s">
        <v>1544</v>
      </c>
      <c r="H916" s="131">
        <v>-21.39</v>
      </c>
    </row>
    <row r="917" spans="2:8" x14ac:dyDescent="0.2">
      <c r="B917" s="135" t="s">
        <v>1545</v>
      </c>
      <c r="C917" s="135" t="s">
        <v>339</v>
      </c>
      <c r="D917" s="135" t="s">
        <v>1546</v>
      </c>
      <c r="E917" s="135"/>
      <c r="F917" s="135" t="s">
        <v>5</v>
      </c>
      <c r="G917" s="135" t="s">
        <v>1547</v>
      </c>
      <c r="H917" s="131">
        <v>-24</v>
      </c>
    </row>
    <row r="918" spans="2:8" x14ac:dyDescent="0.2">
      <c r="B918" s="135" t="s">
        <v>1608</v>
      </c>
      <c r="C918" s="135" t="s">
        <v>339</v>
      </c>
      <c r="D918" s="135" t="s">
        <v>1656</v>
      </c>
      <c r="E918" s="135"/>
      <c r="F918" s="135" t="s">
        <v>5</v>
      </c>
      <c r="G918" s="135" t="s">
        <v>1550</v>
      </c>
      <c r="H918" s="131">
        <v>-24.6</v>
      </c>
    </row>
    <row r="919" spans="2:8" x14ac:dyDescent="0.2">
      <c r="B919" s="135" t="s">
        <v>1643</v>
      </c>
      <c r="C919" s="135" t="s">
        <v>339</v>
      </c>
      <c r="D919" s="135" t="s">
        <v>1644</v>
      </c>
      <c r="E919" s="135"/>
      <c r="F919" s="135" t="s">
        <v>5</v>
      </c>
      <c r="G919" s="135" t="s">
        <v>1645</v>
      </c>
      <c r="H919" s="131">
        <v>-24.87</v>
      </c>
    </row>
    <row r="920" spans="2:8" x14ac:dyDescent="0.2">
      <c r="B920" s="135" t="s">
        <v>1788</v>
      </c>
      <c r="C920" s="135" t="s">
        <v>102</v>
      </c>
      <c r="D920" s="135"/>
      <c r="E920" s="135" t="s">
        <v>1900</v>
      </c>
      <c r="F920" s="135" t="s">
        <v>5</v>
      </c>
      <c r="G920" s="135" t="s">
        <v>1901</v>
      </c>
      <c r="H920" s="131">
        <v>996.31</v>
      </c>
    </row>
    <row r="921" spans="2:8" x14ac:dyDescent="0.2">
      <c r="B921" s="135" t="s">
        <v>1789</v>
      </c>
      <c r="C921" s="135" t="s">
        <v>339</v>
      </c>
      <c r="D921" s="135" t="s">
        <v>1852</v>
      </c>
      <c r="E921" s="135"/>
      <c r="F921" s="135" t="s">
        <v>5</v>
      </c>
      <c r="G921" s="135" t="s">
        <v>1652</v>
      </c>
      <c r="H921" s="131">
        <v>-54.12</v>
      </c>
    </row>
    <row r="922" spans="2:8" x14ac:dyDescent="0.2">
      <c r="B922" s="135" t="s">
        <v>1854</v>
      </c>
      <c r="C922" s="135" t="s">
        <v>339</v>
      </c>
      <c r="D922" s="135" t="s">
        <v>1855</v>
      </c>
      <c r="E922" s="135"/>
      <c r="F922" s="135" t="s">
        <v>5</v>
      </c>
      <c r="G922" s="135" t="s">
        <v>1856</v>
      </c>
      <c r="H922" s="131">
        <v>-77.11</v>
      </c>
    </row>
    <row r="923" spans="2:8" x14ac:dyDescent="0.2">
      <c r="B923" s="135" t="s">
        <v>2097</v>
      </c>
      <c r="C923" s="135" t="s">
        <v>339</v>
      </c>
      <c r="D923" s="135" t="s">
        <v>2099</v>
      </c>
      <c r="E923" s="135"/>
      <c r="F923" s="135" t="s">
        <v>5</v>
      </c>
      <c r="G923" s="135" t="s">
        <v>2100</v>
      </c>
      <c r="H923" s="131">
        <v>-79.92</v>
      </c>
    </row>
    <row r="924" spans="2:8" x14ac:dyDescent="0.2">
      <c r="B924" s="135" t="s">
        <v>2101</v>
      </c>
      <c r="C924" s="135" t="s">
        <v>339</v>
      </c>
      <c r="D924" s="135" t="s">
        <v>2102</v>
      </c>
      <c r="E924" s="135"/>
      <c r="F924" s="135" t="s">
        <v>5</v>
      </c>
      <c r="G924" s="135" t="s">
        <v>2103</v>
      </c>
      <c r="H924" s="131">
        <v>-64.13</v>
      </c>
    </row>
    <row r="925" spans="2:8" x14ac:dyDescent="0.2">
      <c r="B925" s="135" t="s">
        <v>2104</v>
      </c>
      <c r="C925" s="135" t="s">
        <v>339</v>
      </c>
      <c r="D925" s="135" t="s">
        <v>2105</v>
      </c>
      <c r="E925" s="135"/>
      <c r="F925" s="135" t="s">
        <v>5</v>
      </c>
      <c r="G925" s="135" t="s">
        <v>1856</v>
      </c>
      <c r="H925" s="131">
        <v>-24.83</v>
      </c>
    </row>
    <row r="926" spans="2:8" x14ac:dyDescent="0.2">
      <c r="B926" s="135" t="s">
        <v>2254</v>
      </c>
      <c r="C926" s="135" t="s">
        <v>339</v>
      </c>
      <c r="D926" s="135" t="s">
        <v>2255</v>
      </c>
      <c r="E926" s="135"/>
      <c r="F926" s="135" t="s">
        <v>5</v>
      </c>
      <c r="G926" s="135" t="s">
        <v>2256</v>
      </c>
      <c r="H926" s="131">
        <v>-46.11</v>
      </c>
    </row>
    <row r="927" spans="2:8" x14ac:dyDescent="0.2">
      <c r="B927" s="135" t="s">
        <v>2251</v>
      </c>
      <c r="C927" s="135" t="s">
        <v>339</v>
      </c>
      <c r="D927" s="135" t="s">
        <v>2252</v>
      </c>
      <c r="E927" s="135"/>
      <c r="F927" s="135" t="s">
        <v>5</v>
      </c>
      <c r="G927" s="135" t="s">
        <v>2253</v>
      </c>
      <c r="H927" s="131">
        <v>-23.71</v>
      </c>
    </row>
    <row r="928" spans="2:8" x14ac:dyDescent="0.2">
      <c r="B928" s="135" t="s">
        <v>2340</v>
      </c>
      <c r="C928" s="135" t="s">
        <v>339</v>
      </c>
      <c r="D928" s="135" t="s">
        <v>2367</v>
      </c>
      <c r="E928" s="135"/>
      <c r="F928" s="135" t="s">
        <v>5</v>
      </c>
      <c r="G928" s="135" t="s">
        <v>2368</v>
      </c>
      <c r="H928" s="131">
        <v>-22.32</v>
      </c>
    </row>
    <row r="929" spans="1:8" x14ac:dyDescent="0.2">
      <c r="B929" s="135" t="s">
        <v>2361</v>
      </c>
      <c r="C929" s="135" t="s">
        <v>339</v>
      </c>
      <c r="D929" s="135" t="s">
        <v>2362</v>
      </c>
      <c r="E929" s="135"/>
      <c r="F929" s="135" t="s">
        <v>5</v>
      </c>
      <c r="G929" s="135" t="s">
        <v>2363</v>
      </c>
      <c r="H929" s="131">
        <v>-18.899999999999999</v>
      </c>
    </row>
    <row r="930" spans="1:8" x14ac:dyDescent="0.2">
      <c r="B930" s="135" t="s">
        <v>2553</v>
      </c>
      <c r="C930" s="135" t="s">
        <v>339</v>
      </c>
      <c r="D930" s="135" t="s">
        <v>2566</v>
      </c>
      <c r="E930" s="135"/>
      <c r="F930" s="135" t="s">
        <v>5</v>
      </c>
      <c r="G930" s="135" t="s">
        <v>2567</v>
      </c>
      <c r="H930" s="131">
        <v>-21.39</v>
      </c>
    </row>
    <row r="931" spans="1:8" x14ac:dyDescent="0.2">
      <c r="B931" s="135" t="s">
        <v>2569</v>
      </c>
      <c r="C931" s="135" t="s">
        <v>339</v>
      </c>
      <c r="D931" s="135" t="s">
        <v>2570</v>
      </c>
      <c r="E931" s="135"/>
      <c r="F931" s="135" t="s">
        <v>5</v>
      </c>
      <c r="G931" s="135" t="s">
        <v>2571</v>
      </c>
      <c r="H931" s="131">
        <v>-17.53</v>
      </c>
    </row>
    <row r="932" spans="1:8" x14ac:dyDescent="0.2">
      <c r="B932" s="135" t="s">
        <v>2737</v>
      </c>
      <c r="C932" s="135" t="s">
        <v>339</v>
      </c>
      <c r="D932" s="135" t="s">
        <v>2753</v>
      </c>
      <c r="E932" s="135"/>
      <c r="F932" s="135" t="s">
        <v>5</v>
      </c>
      <c r="G932" s="135" t="s">
        <v>2754</v>
      </c>
      <c r="H932" s="131">
        <v>-12.69</v>
      </c>
    </row>
    <row r="933" spans="1:8" x14ac:dyDescent="0.2">
      <c r="B933" s="135" t="s">
        <v>2757</v>
      </c>
      <c r="C933" s="135" t="s">
        <v>339</v>
      </c>
      <c r="D933" s="135" t="s">
        <v>2758</v>
      </c>
      <c r="E933" s="135"/>
      <c r="F933" s="135" t="s">
        <v>5</v>
      </c>
      <c r="G933" s="135" t="s">
        <v>2759</v>
      </c>
      <c r="H933" s="131">
        <v>-13.14</v>
      </c>
    </row>
    <row r="934" spans="1:8" x14ac:dyDescent="0.2">
      <c r="A934" s="129" t="s">
        <v>1902</v>
      </c>
      <c r="H934" s="132">
        <v>619.23</v>
      </c>
    </row>
    <row r="935" spans="1:8" x14ac:dyDescent="0.2">
      <c r="A935" s="129" t="s">
        <v>1903</v>
      </c>
      <c r="H935" s="132">
        <v>32843.61</v>
      </c>
    </row>
    <row r="936" spans="1:8" x14ac:dyDescent="0.2">
      <c r="A936" s="129" t="s">
        <v>2490</v>
      </c>
    </row>
    <row r="937" spans="1:8" x14ac:dyDescent="0.2">
      <c r="A937" s="129" t="s">
        <v>2491</v>
      </c>
    </row>
    <row r="938" spans="1:8" x14ac:dyDescent="0.2">
      <c r="B938" s="135" t="s">
        <v>1949</v>
      </c>
      <c r="C938" s="135" t="s">
        <v>3</v>
      </c>
      <c r="D938" s="135"/>
      <c r="E938" s="135" t="s">
        <v>1950</v>
      </c>
      <c r="F938" s="135" t="s">
        <v>5</v>
      </c>
      <c r="G938" s="135" t="s">
        <v>1951</v>
      </c>
      <c r="H938" s="131">
        <v>56.34</v>
      </c>
    </row>
    <row r="939" spans="1:8" x14ac:dyDescent="0.2">
      <c r="B939" s="135" t="s">
        <v>1808</v>
      </c>
      <c r="C939" s="135" t="s">
        <v>1954</v>
      </c>
      <c r="D939" s="135"/>
      <c r="E939" s="135" t="s">
        <v>1050</v>
      </c>
      <c r="F939" s="135" t="s">
        <v>5</v>
      </c>
      <c r="G939" s="135"/>
      <c r="H939" s="131">
        <v>-50</v>
      </c>
    </row>
    <row r="940" spans="1:8" x14ac:dyDescent="0.2">
      <c r="B940" s="135" t="s">
        <v>2741</v>
      </c>
      <c r="C940" s="135" t="s">
        <v>547</v>
      </c>
      <c r="D940" s="135" t="s">
        <v>2763</v>
      </c>
      <c r="E940" s="135" t="s">
        <v>2764</v>
      </c>
      <c r="F940" s="135" t="s">
        <v>5</v>
      </c>
      <c r="G940" s="135" t="s">
        <v>2765</v>
      </c>
      <c r="H940" s="131">
        <v>320</v>
      </c>
    </row>
    <row r="941" spans="1:8" x14ac:dyDescent="0.2">
      <c r="A941" s="129" t="s">
        <v>2492</v>
      </c>
      <c r="H941" s="132">
        <v>326.33999999999997</v>
      </c>
    </row>
    <row r="942" spans="1:8" x14ac:dyDescent="0.2">
      <c r="A942" s="129" t="s">
        <v>2581</v>
      </c>
    </row>
    <row r="943" spans="1:8" ht="25" x14ac:dyDescent="0.2">
      <c r="B943" s="135" t="s">
        <v>2582</v>
      </c>
      <c r="C943" s="135" t="s">
        <v>547</v>
      </c>
      <c r="D943" s="135">
        <v>112524</v>
      </c>
      <c r="E943" s="135" t="s">
        <v>1025</v>
      </c>
      <c r="F943" s="135" t="s">
        <v>5</v>
      </c>
      <c r="G943" s="135" t="s">
        <v>2583</v>
      </c>
      <c r="H943" s="131">
        <v>817.66</v>
      </c>
    </row>
    <row r="944" spans="1:8" ht="25" x14ac:dyDescent="0.2">
      <c r="B944" s="135" t="s">
        <v>2582</v>
      </c>
      <c r="C944" s="135" t="s">
        <v>547</v>
      </c>
      <c r="D944" s="135">
        <v>112524</v>
      </c>
      <c r="E944" s="135" t="s">
        <v>1025</v>
      </c>
      <c r="F944" s="135" t="s">
        <v>5</v>
      </c>
      <c r="G944" s="135" t="s">
        <v>2584</v>
      </c>
      <c r="H944" s="131">
        <v>817.66</v>
      </c>
    </row>
    <row r="945" spans="1:8" ht="25" x14ac:dyDescent="0.2">
      <c r="B945" s="135" t="s">
        <v>2741</v>
      </c>
      <c r="C945" s="135" t="s">
        <v>547</v>
      </c>
      <c r="D945" s="135" t="s">
        <v>2766</v>
      </c>
      <c r="E945" s="135" t="s">
        <v>1025</v>
      </c>
      <c r="F945" s="135" t="s">
        <v>5</v>
      </c>
      <c r="G945" s="135" t="s">
        <v>2767</v>
      </c>
      <c r="H945" s="131">
        <v>817.66</v>
      </c>
    </row>
    <row r="946" spans="1:8" ht="25" x14ac:dyDescent="0.2">
      <c r="B946" s="135" t="s">
        <v>2741</v>
      </c>
      <c r="C946" s="135" t="s">
        <v>547</v>
      </c>
      <c r="D946" s="135" t="s">
        <v>2766</v>
      </c>
      <c r="E946" s="135" t="s">
        <v>1025</v>
      </c>
      <c r="F946" s="135" t="s">
        <v>5</v>
      </c>
      <c r="G946" s="135" t="s">
        <v>2768</v>
      </c>
      <c r="H946" s="131">
        <v>817.66</v>
      </c>
    </row>
    <row r="947" spans="1:8" ht="25" x14ac:dyDescent="0.2">
      <c r="A947" s="129" t="s">
        <v>2585</v>
      </c>
      <c r="H947" s="132">
        <v>3270.64</v>
      </c>
    </row>
    <row r="948" spans="1:8" x14ac:dyDescent="0.2">
      <c r="A948" s="129" t="s">
        <v>2493</v>
      </c>
    </row>
    <row r="949" spans="1:8" ht="25" x14ac:dyDescent="0.2">
      <c r="B949" s="135" t="s">
        <v>1024</v>
      </c>
      <c r="C949" s="135" t="s">
        <v>547</v>
      </c>
      <c r="D949" s="135">
        <v>30426</v>
      </c>
      <c r="E949" s="135" t="s">
        <v>1025</v>
      </c>
      <c r="F949" s="135" t="s">
        <v>5</v>
      </c>
      <c r="G949" s="135" t="s">
        <v>1181</v>
      </c>
      <c r="H949" s="131">
        <v>817.66</v>
      </c>
    </row>
    <row r="950" spans="1:8" ht="25" x14ac:dyDescent="0.2">
      <c r="B950" s="135" t="s">
        <v>1024</v>
      </c>
      <c r="C950" s="135" t="s">
        <v>547</v>
      </c>
      <c r="D950" s="135">
        <v>30426</v>
      </c>
      <c r="E950" s="135" t="s">
        <v>1025</v>
      </c>
      <c r="F950" s="135" t="s">
        <v>5</v>
      </c>
      <c r="G950" s="135" t="s">
        <v>1026</v>
      </c>
      <c r="H950" s="131">
        <v>792.3</v>
      </c>
    </row>
    <row r="951" spans="1:8" x14ac:dyDescent="0.2">
      <c r="B951" s="135" t="s">
        <v>955</v>
      </c>
      <c r="C951" s="135" t="s">
        <v>3</v>
      </c>
      <c r="D951" s="135"/>
      <c r="E951" s="135" t="s">
        <v>1025</v>
      </c>
      <c r="F951" s="135" t="s">
        <v>5</v>
      </c>
      <c r="G951" s="135" t="s">
        <v>1182</v>
      </c>
      <c r="H951" s="131">
        <v>0</v>
      </c>
    </row>
    <row r="952" spans="1:8" x14ac:dyDescent="0.2">
      <c r="B952" s="135" t="s">
        <v>972</v>
      </c>
      <c r="C952" s="135" t="s">
        <v>339</v>
      </c>
      <c r="D952" s="135" t="s">
        <v>1027</v>
      </c>
      <c r="E952" s="135"/>
      <c r="F952" s="135" t="s">
        <v>5</v>
      </c>
      <c r="G952" s="135" t="s">
        <v>1028</v>
      </c>
      <c r="H952" s="131">
        <v>-3169.24</v>
      </c>
    </row>
    <row r="953" spans="1:8" x14ac:dyDescent="0.2">
      <c r="B953" s="135" t="s">
        <v>1183</v>
      </c>
      <c r="C953" s="135" t="s">
        <v>547</v>
      </c>
      <c r="D953" s="135">
        <v>31224</v>
      </c>
      <c r="E953" s="135" t="s">
        <v>1184</v>
      </c>
      <c r="F953" s="135" t="s">
        <v>5</v>
      </c>
      <c r="G953" s="135" t="s">
        <v>1185</v>
      </c>
      <c r="H953" s="131">
        <v>118.99</v>
      </c>
    </row>
    <row r="954" spans="1:8" x14ac:dyDescent="0.2">
      <c r="B954" s="135" t="s">
        <v>1186</v>
      </c>
      <c r="C954" s="135" t="s">
        <v>3</v>
      </c>
      <c r="D954" s="135">
        <v>31924</v>
      </c>
      <c r="E954" s="135" t="s">
        <v>1025</v>
      </c>
      <c r="F954" s="135" t="s">
        <v>5</v>
      </c>
      <c r="G954" s="135" t="s">
        <v>1188</v>
      </c>
      <c r="H954" s="131">
        <v>817.66</v>
      </c>
    </row>
    <row r="955" spans="1:8" x14ac:dyDescent="0.2">
      <c r="B955" s="135" t="s">
        <v>1186</v>
      </c>
      <c r="C955" s="135" t="s">
        <v>3</v>
      </c>
      <c r="D955" s="135">
        <v>31924</v>
      </c>
      <c r="E955" s="135" t="s">
        <v>1025</v>
      </c>
      <c r="F955" s="135" t="s">
        <v>5</v>
      </c>
      <c r="G955" s="135" t="s">
        <v>1187</v>
      </c>
      <c r="H955" s="131">
        <v>817.66</v>
      </c>
    </row>
    <row r="956" spans="1:8" x14ac:dyDescent="0.2">
      <c r="B956" s="135" t="s">
        <v>1186</v>
      </c>
      <c r="C956" s="135" t="s">
        <v>3</v>
      </c>
      <c r="D956" s="135">
        <v>31924</v>
      </c>
      <c r="E956" s="135" t="s">
        <v>1025</v>
      </c>
      <c r="F956" s="135" t="s">
        <v>5</v>
      </c>
      <c r="G956" s="135" t="s">
        <v>1189</v>
      </c>
      <c r="H956" s="131">
        <v>817.66</v>
      </c>
    </row>
    <row r="957" spans="1:8" ht="25" x14ac:dyDescent="0.2">
      <c r="B957" s="135" t="s">
        <v>1280</v>
      </c>
      <c r="C957" s="135" t="s">
        <v>547</v>
      </c>
      <c r="D957" s="135">
        <v>41624</v>
      </c>
      <c r="E957" s="135" t="s">
        <v>1025</v>
      </c>
      <c r="F957" s="135" t="s">
        <v>5</v>
      </c>
      <c r="G957" s="135" t="s">
        <v>1367</v>
      </c>
      <c r="H957" s="131">
        <v>817.66</v>
      </c>
    </row>
    <row r="958" spans="1:8" ht="25" x14ac:dyDescent="0.2">
      <c r="B958" s="135" t="s">
        <v>1280</v>
      </c>
      <c r="C958" s="135" t="s">
        <v>547</v>
      </c>
      <c r="D958" s="135">
        <v>41624</v>
      </c>
      <c r="E958" s="135" t="s">
        <v>1025</v>
      </c>
      <c r="F958" s="135" t="s">
        <v>5</v>
      </c>
      <c r="G958" s="135" t="s">
        <v>1368</v>
      </c>
      <c r="H958" s="131">
        <v>817.66</v>
      </c>
    </row>
    <row r="959" spans="1:8" ht="25" x14ac:dyDescent="0.2">
      <c r="B959" s="135" t="s">
        <v>1369</v>
      </c>
      <c r="C959" s="135" t="s">
        <v>547</v>
      </c>
      <c r="D959" s="135">
        <v>50824</v>
      </c>
      <c r="E959" s="135" t="s">
        <v>1025</v>
      </c>
      <c r="F959" s="135" t="s">
        <v>5</v>
      </c>
      <c r="G959" s="135" t="s">
        <v>1371</v>
      </c>
      <c r="H959" s="131">
        <v>817.66</v>
      </c>
    </row>
    <row r="960" spans="1:8" ht="25" x14ac:dyDescent="0.2">
      <c r="B960" s="135" t="s">
        <v>1369</v>
      </c>
      <c r="C960" s="135" t="s">
        <v>547</v>
      </c>
      <c r="D960" s="135">
        <v>50824</v>
      </c>
      <c r="E960" s="135" t="s">
        <v>1025</v>
      </c>
      <c r="F960" s="135" t="s">
        <v>5</v>
      </c>
      <c r="G960" s="135" t="s">
        <v>1370</v>
      </c>
      <c r="H960" s="131">
        <v>817.66</v>
      </c>
    </row>
    <row r="961" spans="1:8" ht="25" x14ac:dyDescent="0.2">
      <c r="B961" s="135" t="s">
        <v>1660</v>
      </c>
      <c r="C961" s="135" t="s">
        <v>547</v>
      </c>
      <c r="D961" s="135">
        <v>60324</v>
      </c>
      <c r="E961" s="135" t="s">
        <v>1025</v>
      </c>
      <c r="F961" s="135" t="s">
        <v>5</v>
      </c>
      <c r="G961" s="135" t="s">
        <v>1662</v>
      </c>
      <c r="H961" s="131">
        <v>817.66</v>
      </c>
    </row>
    <row r="962" spans="1:8" ht="25" x14ac:dyDescent="0.2">
      <c r="B962" s="135" t="s">
        <v>1660</v>
      </c>
      <c r="C962" s="135" t="s">
        <v>547</v>
      </c>
      <c r="D962" s="135">
        <v>60324</v>
      </c>
      <c r="E962" s="135" t="s">
        <v>1025</v>
      </c>
      <c r="F962" s="135" t="s">
        <v>5</v>
      </c>
      <c r="G962" s="135" t="s">
        <v>1661</v>
      </c>
      <c r="H962" s="131">
        <v>817.66</v>
      </c>
    </row>
    <row r="963" spans="1:8" x14ac:dyDescent="0.2">
      <c r="B963" s="135" t="s">
        <v>1891</v>
      </c>
      <c r="C963" s="135" t="s">
        <v>3</v>
      </c>
      <c r="D963" s="135"/>
      <c r="E963" s="135" t="s">
        <v>1156</v>
      </c>
      <c r="F963" s="135" t="s">
        <v>5</v>
      </c>
      <c r="G963" s="135"/>
      <c r="H963" s="131">
        <v>776.25</v>
      </c>
    </row>
    <row r="964" spans="1:8" ht="25" x14ac:dyDescent="0.2">
      <c r="B964" s="135" t="s">
        <v>1793</v>
      </c>
      <c r="C964" s="135" t="s">
        <v>547</v>
      </c>
      <c r="D964" s="135">
        <v>70924</v>
      </c>
      <c r="E964" s="135" t="s">
        <v>1025</v>
      </c>
      <c r="F964" s="135" t="s">
        <v>5</v>
      </c>
      <c r="G964" s="135" t="s">
        <v>1893</v>
      </c>
      <c r="H964" s="131">
        <v>817.66</v>
      </c>
    </row>
    <row r="965" spans="1:8" ht="25" x14ac:dyDescent="0.2">
      <c r="B965" s="135" t="s">
        <v>1793</v>
      </c>
      <c r="C965" s="135" t="s">
        <v>547</v>
      </c>
      <c r="D965" s="135">
        <v>70924</v>
      </c>
      <c r="E965" s="135" t="s">
        <v>1025</v>
      </c>
      <c r="F965" s="135" t="s">
        <v>5</v>
      </c>
      <c r="G965" s="135" t="s">
        <v>1892</v>
      </c>
      <c r="H965" s="131">
        <v>817.66</v>
      </c>
    </row>
    <row r="966" spans="1:8" ht="25" x14ac:dyDescent="0.2">
      <c r="B966" s="135" t="s">
        <v>2260</v>
      </c>
      <c r="C966" s="135" t="s">
        <v>547</v>
      </c>
      <c r="D966" s="135">
        <v>91024</v>
      </c>
      <c r="E966" s="135" t="s">
        <v>1025</v>
      </c>
      <c r="F966" s="135" t="s">
        <v>5</v>
      </c>
      <c r="G966" s="135" t="s">
        <v>2262</v>
      </c>
      <c r="H966" s="131">
        <v>817.66</v>
      </c>
    </row>
    <row r="967" spans="1:8" ht="25" x14ac:dyDescent="0.2">
      <c r="B967" s="135" t="s">
        <v>2260</v>
      </c>
      <c r="C967" s="135" t="s">
        <v>547</v>
      </c>
      <c r="D967" s="135">
        <v>91024</v>
      </c>
      <c r="E967" s="135" t="s">
        <v>1025</v>
      </c>
      <c r="F967" s="135" t="s">
        <v>5</v>
      </c>
      <c r="G967" s="135" t="s">
        <v>2261</v>
      </c>
      <c r="H967" s="131">
        <v>817.66</v>
      </c>
    </row>
    <row r="968" spans="1:8" ht="25" x14ac:dyDescent="0.2">
      <c r="B968" s="135" t="s">
        <v>2377</v>
      </c>
      <c r="C968" s="135" t="s">
        <v>547</v>
      </c>
      <c r="D968" s="135">
        <v>102124</v>
      </c>
      <c r="E968" s="135" t="s">
        <v>1025</v>
      </c>
      <c r="F968" s="135" t="s">
        <v>5</v>
      </c>
      <c r="G968" s="135" t="s">
        <v>2378</v>
      </c>
      <c r="H968" s="131">
        <v>1635.32</v>
      </c>
    </row>
    <row r="969" spans="1:8" ht="25" x14ac:dyDescent="0.2">
      <c r="B969" s="135" t="s">
        <v>2377</v>
      </c>
      <c r="C969" s="135" t="s">
        <v>547</v>
      </c>
      <c r="D969" s="135">
        <v>102124</v>
      </c>
      <c r="E969" s="135" t="s">
        <v>1025</v>
      </c>
      <c r="F969" s="135" t="s">
        <v>5</v>
      </c>
      <c r="G969" s="135" t="s">
        <v>2379</v>
      </c>
      <c r="H969" s="131">
        <v>2452.98</v>
      </c>
    </row>
    <row r="970" spans="1:8" x14ac:dyDescent="0.2">
      <c r="A970" s="129" t="s">
        <v>2494</v>
      </c>
      <c r="H970" s="132">
        <v>14053.84</v>
      </c>
    </row>
    <row r="971" spans="1:8" x14ac:dyDescent="0.2">
      <c r="A971" s="129" t="s">
        <v>2495</v>
      </c>
      <c r="H971" s="132">
        <v>17650.82</v>
      </c>
    </row>
    <row r="972" spans="1:8" x14ac:dyDescent="0.2">
      <c r="A972" s="129" t="s">
        <v>1904</v>
      </c>
      <c r="H972" s="132">
        <v>253736.53</v>
      </c>
    </row>
    <row r="973" spans="1:8" x14ac:dyDescent="0.2">
      <c r="A973" s="129" t="s">
        <v>359</v>
      </c>
    </row>
    <row r="974" spans="1:8" x14ac:dyDescent="0.2">
      <c r="A974" s="129" t="s">
        <v>2586</v>
      </c>
    </row>
    <row r="975" spans="1:8" x14ac:dyDescent="0.2">
      <c r="B975" s="135" t="s">
        <v>2564</v>
      </c>
      <c r="C975" s="135" t="s">
        <v>3</v>
      </c>
      <c r="D975" s="135"/>
      <c r="E975" s="135" t="s">
        <v>2587</v>
      </c>
      <c r="F975" s="135" t="s">
        <v>5</v>
      </c>
      <c r="G975" s="135"/>
      <c r="H975" s="131">
        <v>104.9</v>
      </c>
    </row>
    <row r="976" spans="1:8" x14ac:dyDescent="0.2">
      <c r="B976" s="135" t="s">
        <v>2769</v>
      </c>
      <c r="C976" s="135" t="s">
        <v>3</v>
      </c>
      <c r="D976" s="135"/>
      <c r="E976" s="135" t="s">
        <v>2770</v>
      </c>
      <c r="F976" s="135" t="s">
        <v>5</v>
      </c>
      <c r="G976" s="135"/>
      <c r="H976" s="131">
        <v>488</v>
      </c>
    </row>
    <row r="977" spans="1:8" x14ac:dyDescent="0.2">
      <c r="B977" s="135" t="s">
        <v>2771</v>
      </c>
      <c r="C977" s="135" t="s">
        <v>3</v>
      </c>
      <c r="D977" s="135"/>
      <c r="E977" s="135" t="s">
        <v>2772</v>
      </c>
      <c r="F977" s="135" t="s">
        <v>5</v>
      </c>
      <c r="G977" s="135"/>
      <c r="H977" s="131">
        <v>500</v>
      </c>
    </row>
    <row r="978" spans="1:8" x14ac:dyDescent="0.2">
      <c r="A978" s="129" t="s">
        <v>2588</v>
      </c>
      <c r="H978" s="132">
        <v>1092.9000000000001</v>
      </c>
    </row>
    <row r="979" spans="1:8" x14ac:dyDescent="0.2">
      <c r="A979" s="129" t="s">
        <v>567</v>
      </c>
    </row>
    <row r="980" spans="1:8" x14ac:dyDescent="0.2">
      <c r="B980" s="135" t="s">
        <v>821</v>
      </c>
      <c r="C980" s="135" t="s">
        <v>339</v>
      </c>
      <c r="D980" s="135" t="s">
        <v>1533</v>
      </c>
      <c r="E980" s="135"/>
      <c r="F980" s="135" t="s">
        <v>5</v>
      </c>
      <c r="G980" s="135" t="s">
        <v>1557</v>
      </c>
      <c r="H980" s="131">
        <v>9.98</v>
      </c>
    </row>
    <row r="981" spans="1:8" x14ac:dyDescent="0.2">
      <c r="B981" s="135" t="s">
        <v>832</v>
      </c>
      <c r="C981" s="135" t="s">
        <v>3</v>
      </c>
      <c r="D981" s="135"/>
      <c r="E981" s="135" t="s">
        <v>614</v>
      </c>
      <c r="F981" s="135" t="s">
        <v>5</v>
      </c>
      <c r="G981" s="135"/>
      <c r="H981" s="131">
        <v>10.27</v>
      </c>
    </row>
    <row r="982" spans="1:8" x14ac:dyDescent="0.2">
      <c r="B982" s="135" t="s">
        <v>824</v>
      </c>
      <c r="C982" s="135" t="s">
        <v>339</v>
      </c>
      <c r="D982" s="135" t="s">
        <v>1373</v>
      </c>
      <c r="E982" s="135"/>
      <c r="F982" s="135" t="s">
        <v>5</v>
      </c>
      <c r="G982" s="135" t="s">
        <v>1374</v>
      </c>
      <c r="H982" s="131">
        <v>0.65</v>
      </c>
    </row>
    <row r="983" spans="1:8" x14ac:dyDescent="0.2">
      <c r="B983" s="135" t="s">
        <v>824</v>
      </c>
      <c r="C983" s="135" t="s">
        <v>339</v>
      </c>
      <c r="D983" s="135" t="s">
        <v>825</v>
      </c>
      <c r="E983" s="135"/>
      <c r="F983" s="135" t="s">
        <v>5</v>
      </c>
      <c r="G983" s="135" t="s">
        <v>1032</v>
      </c>
      <c r="H983" s="131">
        <v>153.65</v>
      </c>
    </row>
    <row r="984" spans="1:8" x14ac:dyDescent="0.2">
      <c r="B984" s="135" t="s">
        <v>1030</v>
      </c>
      <c r="C984" s="135" t="s">
        <v>3</v>
      </c>
      <c r="D984" s="135"/>
      <c r="E984" s="135" t="s">
        <v>614</v>
      </c>
      <c r="F984" s="135" t="s">
        <v>5</v>
      </c>
      <c r="G984" s="135"/>
      <c r="H984" s="131">
        <v>10</v>
      </c>
    </row>
    <row r="985" spans="1:8" x14ac:dyDescent="0.2">
      <c r="B985" s="135" t="s">
        <v>1194</v>
      </c>
      <c r="C985" s="135" t="s">
        <v>3</v>
      </c>
      <c r="D985" s="135"/>
      <c r="E985" s="135" t="s">
        <v>614</v>
      </c>
      <c r="F985" s="135" t="s">
        <v>5</v>
      </c>
      <c r="G985" s="135"/>
      <c r="H985" s="131">
        <v>10</v>
      </c>
    </row>
    <row r="986" spans="1:8" x14ac:dyDescent="0.2">
      <c r="B986" s="135" t="s">
        <v>1168</v>
      </c>
      <c r="C986" s="135" t="s">
        <v>339</v>
      </c>
      <c r="D986" s="135" t="s">
        <v>1375</v>
      </c>
      <c r="E986" s="135"/>
      <c r="F986" s="135" t="s">
        <v>5</v>
      </c>
      <c r="G986" s="135" t="s">
        <v>1376</v>
      </c>
      <c r="H986" s="131">
        <v>0.38</v>
      </c>
    </row>
    <row r="987" spans="1:8" x14ac:dyDescent="0.2">
      <c r="B987" s="135" t="s">
        <v>1377</v>
      </c>
      <c r="C987" s="135" t="s">
        <v>3</v>
      </c>
      <c r="D987" s="135"/>
      <c r="E987" s="135" t="s">
        <v>614</v>
      </c>
      <c r="F987" s="135" t="s">
        <v>5</v>
      </c>
      <c r="G987" s="135"/>
      <c r="H987" s="131">
        <v>10</v>
      </c>
    </row>
    <row r="988" spans="1:8" x14ac:dyDescent="0.2">
      <c r="B988" s="135" t="s">
        <v>1447</v>
      </c>
      <c r="C988" s="135" t="s">
        <v>973</v>
      </c>
      <c r="D988" s="135" t="s">
        <v>1503</v>
      </c>
      <c r="E988" s="135" t="s">
        <v>1504</v>
      </c>
      <c r="F988" s="135" t="s">
        <v>5</v>
      </c>
      <c r="G988" s="135"/>
      <c r="H988" s="131">
        <v>26.8</v>
      </c>
    </row>
    <row r="989" spans="1:8" x14ac:dyDescent="0.2">
      <c r="B989" s="135" t="s">
        <v>1542</v>
      </c>
      <c r="C989" s="135" t="s">
        <v>3</v>
      </c>
      <c r="D989" s="135"/>
      <c r="E989" s="135" t="s">
        <v>614</v>
      </c>
      <c r="F989" s="135" t="s">
        <v>5</v>
      </c>
      <c r="G989" s="135"/>
      <c r="H989" s="131">
        <v>10</v>
      </c>
    </row>
    <row r="990" spans="1:8" x14ac:dyDescent="0.2">
      <c r="B990" s="135" t="s">
        <v>1664</v>
      </c>
      <c r="C990" s="135" t="s">
        <v>973</v>
      </c>
      <c r="D990" s="135" t="s">
        <v>1665</v>
      </c>
      <c r="E990" s="135" t="s">
        <v>1409</v>
      </c>
      <c r="F990" s="135" t="s">
        <v>5</v>
      </c>
      <c r="G990" s="135"/>
      <c r="H990" s="131">
        <v>0</v>
      </c>
    </row>
    <row r="991" spans="1:8" x14ac:dyDescent="0.2">
      <c r="B991" s="135" t="s">
        <v>1666</v>
      </c>
      <c r="C991" s="135" t="s">
        <v>3</v>
      </c>
      <c r="D991" s="135"/>
      <c r="E991" s="135" t="s">
        <v>614</v>
      </c>
      <c r="F991" s="135" t="s">
        <v>5</v>
      </c>
      <c r="G991" s="135"/>
      <c r="H991" s="131">
        <v>10.39</v>
      </c>
    </row>
    <row r="992" spans="1:8" x14ac:dyDescent="0.2">
      <c r="B992" s="135" t="s">
        <v>1711</v>
      </c>
      <c r="C992" s="135" t="s">
        <v>3</v>
      </c>
      <c r="D992" s="135"/>
      <c r="E992" s="135"/>
      <c r="F992" s="135" t="s">
        <v>5</v>
      </c>
      <c r="G992" s="135" t="s">
        <v>1905</v>
      </c>
      <c r="H992" s="131">
        <v>38.619999999999997</v>
      </c>
    </row>
    <row r="993" spans="2:8" x14ac:dyDescent="0.2">
      <c r="B993" s="135" t="s">
        <v>1624</v>
      </c>
      <c r="C993" s="135" t="s">
        <v>339</v>
      </c>
      <c r="D993" s="135" t="s">
        <v>1813</v>
      </c>
      <c r="E993" s="135"/>
      <c r="F993" s="135" t="s">
        <v>5</v>
      </c>
      <c r="G993" s="135" t="s">
        <v>1817</v>
      </c>
      <c r="H993" s="131">
        <v>37.700000000000003</v>
      </c>
    </row>
    <row r="994" spans="2:8" x14ac:dyDescent="0.2">
      <c r="B994" s="135" t="s">
        <v>1624</v>
      </c>
      <c r="C994" s="135" t="s">
        <v>339</v>
      </c>
      <c r="D994" s="135" t="s">
        <v>1813</v>
      </c>
      <c r="E994" s="135"/>
      <c r="F994" s="135" t="s">
        <v>5</v>
      </c>
      <c r="G994" s="135"/>
      <c r="H994" s="131">
        <v>61.6</v>
      </c>
    </row>
    <row r="995" spans="2:8" x14ac:dyDescent="0.2">
      <c r="B995" s="135" t="s">
        <v>1624</v>
      </c>
      <c r="C995" s="135" t="s">
        <v>339</v>
      </c>
      <c r="D995" s="135" t="s">
        <v>1813</v>
      </c>
      <c r="E995" s="135"/>
      <c r="F995" s="135" t="s">
        <v>5</v>
      </c>
      <c r="G995" s="135"/>
      <c r="H995" s="131">
        <v>12</v>
      </c>
    </row>
    <row r="996" spans="2:8" x14ac:dyDescent="0.2">
      <c r="B996" s="135" t="s">
        <v>1906</v>
      </c>
      <c r="C996" s="135" t="s">
        <v>3</v>
      </c>
      <c r="D996" s="135"/>
      <c r="E996" s="135" t="s">
        <v>156</v>
      </c>
      <c r="F996" s="135" t="s">
        <v>5</v>
      </c>
      <c r="G996" s="135" t="s">
        <v>1907</v>
      </c>
      <c r="H996" s="131">
        <v>11.56</v>
      </c>
    </row>
    <row r="997" spans="2:8" x14ac:dyDescent="0.2">
      <c r="B997" s="135" t="s">
        <v>1791</v>
      </c>
      <c r="C997" s="135" t="s">
        <v>101</v>
      </c>
      <c r="D997" s="135"/>
      <c r="E997" s="135"/>
      <c r="F997" s="135" t="s">
        <v>5</v>
      </c>
      <c r="G997" s="135"/>
      <c r="H997" s="131">
        <v>0.7</v>
      </c>
    </row>
    <row r="998" spans="2:8" x14ac:dyDescent="0.2">
      <c r="B998" s="135" t="s">
        <v>1791</v>
      </c>
      <c r="C998" s="135" t="s">
        <v>101</v>
      </c>
      <c r="D998" s="135"/>
      <c r="E998" s="135"/>
      <c r="F998" s="135" t="s">
        <v>5</v>
      </c>
      <c r="G998" s="135"/>
      <c r="H998" s="131">
        <v>7</v>
      </c>
    </row>
    <row r="999" spans="2:8" x14ac:dyDescent="0.2">
      <c r="B999" s="135" t="s">
        <v>1908</v>
      </c>
      <c r="C999" s="135" t="s">
        <v>3</v>
      </c>
      <c r="D999" s="135"/>
      <c r="E999" s="135" t="s">
        <v>614</v>
      </c>
      <c r="F999" s="135" t="s">
        <v>5</v>
      </c>
      <c r="G999" s="135"/>
      <c r="H999" s="131">
        <v>10.49</v>
      </c>
    </row>
    <row r="1000" spans="2:8" x14ac:dyDescent="0.2">
      <c r="B1000" s="135" t="s">
        <v>1796</v>
      </c>
      <c r="C1000" s="135" t="s">
        <v>101</v>
      </c>
      <c r="D1000" s="135"/>
      <c r="E1000" s="135"/>
      <c r="F1000" s="135" t="s">
        <v>5</v>
      </c>
      <c r="G1000" s="135"/>
      <c r="H1000" s="131">
        <v>6.74</v>
      </c>
    </row>
    <row r="1001" spans="2:8" x14ac:dyDescent="0.2">
      <c r="B1001" s="135" t="s">
        <v>1830</v>
      </c>
      <c r="C1001" s="135" t="s">
        <v>339</v>
      </c>
      <c r="D1001" s="135" t="s">
        <v>1909</v>
      </c>
      <c r="E1001" s="135"/>
      <c r="F1001" s="135" t="s">
        <v>5</v>
      </c>
      <c r="G1001" s="135" t="s">
        <v>1910</v>
      </c>
      <c r="H1001" s="131">
        <v>1.1499999999999999</v>
      </c>
    </row>
    <row r="1002" spans="2:8" x14ac:dyDescent="0.2">
      <c r="B1002" s="135" t="s">
        <v>1830</v>
      </c>
      <c r="C1002" s="135" t="s">
        <v>339</v>
      </c>
      <c r="D1002" s="135" t="s">
        <v>2115</v>
      </c>
      <c r="E1002" s="135"/>
      <c r="F1002" s="135" t="s">
        <v>5</v>
      </c>
      <c r="G1002" s="135" t="s">
        <v>2116</v>
      </c>
      <c r="H1002" s="131">
        <v>0.39</v>
      </c>
    </row>
    <row r="1003" spans="2:8" x14ac:dyDescent="0.2">
      <c r="B1003" s="135" t="s">
        <v>2117</v>
      </c>
      <c r="C1003" s="135" t="s">
        <v>3</v>
      </c>
      <c r="D1003" s="135"/>
      <c r="E1003" s="135" t="s">
        <v>1421</v>
      </c>
      <c r="F1003" s="135" t="s">
        <v>5</v>
      </c>
      <c r="G1003" s="135"/>
      <c r="H1003" s="131">
        <v>18.75</v>
      </c>
    </row>
    <row r="1004" spans="2:8" x14ac:dyDescent="0.2">
      <c r="B1004" s="135" t="s">
        <v>2096</v>
      </c>
      <c r="C1004" s="135" t="s">
        <v>3</v>
      </c>
      <c r="D1004" s="135"/>
      <c r="E1004" s="135" t="s">
        <v>614</v>
      </c>
      <c r="F1004" s="135" t="s">
        <v>5</v>
      </c>
      <c r="G1004" s="135"/>
      <c r="H1004" s="131">
        <v>10.49</v>
      </c>
    </row>
    <row r="1005" spans="2:8" x14ac:dyDescent="0.2">
      <c r="B1005" s="135" t="s">
        <v>2088</v>
      </c>
      <c r="C1005" s="135" t="s">
        <v>339</v>
      </c>
      <c r="D1005" s="135" t="s">
        <v>2089</v>
      </c>
      <c r="E1005" s="135"/>
      <c r="F1005" s="135" t="s">
        <v>5</v>
      </c>
      <c r="G1005" s="135" t="s">
        <v>2090</v>
      </c>
      <c r="H1005" s="131">
        <v>113.2</v>
      </c>
    </row>
    <row r="1006" spans="2:8" x14ac:dyDescent="0.2">
      <c r="B1006" s="135" t="s">
        <v>2081</v>
      </c>
      <c r="C1006" s="135" t="s">
        <v>339</v>
      </c>
      <c r="D1006" s="135" t="s">
        <v>2082</v>
      </c>
      <c r="E1006" s="135"/>
      <c r="F1006" s="135" t="s">
        <v>5</v>
      </c>
      <c r="G1006" s="135" t="s">
        <v>2085</v>
      </c>
      <c r="H1006" s="131">
        <v>1.66</v>
      </c>
    </row>
    <row r="1007" spans="2:8" x14ac:dyDescent="0.2">
      <c r="B1007" s="135" t="s">
        <v>2224</v>
      </c>
      <c r="C1007" s="135" t="s">
        <v>339</v>
      </c>
      <c r="D1007" s="135" t="s">
        <v>2225</v>
      </c>
      <c r="E1007" s="135"/>
      <c r="F1007" s="135" t="s">
        <v>5</v>
      </c>
      <c r="G1007" s="135"/>
      <c r="H1007" s="131">
        <v>1</v>
      </c>
    </row>
    <row r="1008" spans="2:8" x14ac:dyDescent="0.2">
      <c r="B1008" s="135" t="s">
        <v>2265</v>
      </c>
      <c r="C1008" s="135" t="s">
        <v>973</v>
      </c>
      <c r="D1008" s="135" t="s">
        <v>2266</v>
      </c>
      <c r="E1008" s="135" t="s">
        <v>1409</v>
      </c>
      <c r="F1008" s="135" t="s">
        <v>5</v>
      </c>
      <c r="G1008" s="135"/>
      <c r="H1008" s="131">
        <v>0.38</v>
      </c>
    </row>
    <row r="1009" spans="1:8" x14ac:dyDescent="0.2">
      <c r="B1009" s="135" t="s">
        <v>2260</v>
      </c>
      <c r="C1009" s="135" t="s">
        <v>3</v>
      </c>
      <c r="D1009" s="135"/>
      <c r="E1009" s="135" t="s">
        <v>614</v>
      </c>
      <c r="F1009" s="135" t="s">
        <v>5</v>
      </c>
      <c r="G1009" s="135"/>
      <c r="H1009" s="131">
        <v>10.199999999999999</v>
      </c>
    </row>
    <row r="1010" spans="1:8" x14ac:dyDescent="0.2">
      <c r="B1010" s="135" t="s">
        <v>2382</v>
      </c>
      <c r="C1010" s="135" t="s">
        <v>973</v>
      </c>
      <c r="D1010" s="135" t="s">
        <v>2384</v>
      </c>
      <c r="E1010" s="135" t="s">
        <v>1409</v>
      </c>
      <c r="F1010" s="135" t="s">
        <v>5</v>
      </c>
      <c r="G1010" s="135"/>
      <c r="H1010" s="131">
        <v>0.39</v>
      </c>
    </row>
    <row r="1011" spans="1:8" x14ac:dyDescent="0.2">
      <c r="B1011" s="135" t="s">
        <v>2382</v>
      </c>
      <c r="C1011" s="135" t="s">
        <v>3</v>
      </c>
      <c r="D1011" s="135"/>
      <c r="E1011" s="135" t="s">
        <v>614</v>
      </c>
      <c r="F1011" s="135" t="s">
        <v>5</v>
      </c>
      <c r="G1011" s="135"/>
      <c r="H1011" s="131">
        <v>10</v>
      </c>
    </row>
    <row r="1012" spans="1:8" x14ac:dyDescent="0.2">
      <c r="B1012" s="135" t="s">
        <v>2340</v>
      </c>
      <c r="C1012" s="135" t="s">
        <v>101</v>
      </c>
      <c r="D1012" s="135"/>
      <c r="E1012" s="135"/>
      <c r="F1012" s="135" t="s">
        <v>5</v>
      </c>
      <c r="G1012" s="135"/>
      <c r="H1012" s="131">
        <v>84.4</v>
      </c>
    </row>
    <row r="1013" spans="1:8" x14ac:dyDescent="0.2">
      <c r="B1013" s="135" t="s">
        <v>2564</v>
      </c>
      <c r="C1013" s="135" t="s">
        <v>3</v>
      </c>
      <c r="D1013" s="135"/>
      <c r="E1013" s="135" t="s">
        <v>614</v>
      </c>
      <c r="F1013" s="135" t="s">
        <v>5</v>
      </c>
      <c r="G1013" s="135"/>
      <c r="H1013" s="131">
        <v>10</v>
      </c>
    </row>
    <row r="1014" spans="1:8" x14ac:dyDescent="0.2">
      <c r="B1014" s="135" t="s">
        <v>2773</v>
      </c>
      <c r="C1014" s="135" t="s">
        <v>339</v>
      </c>
      <c r="D1014" s="135" t="s">
        <v>2774</v>
      </c>
      <c r="E1014" s="135"/>
      <c r="F1014" s="135" t="s">
        <v>5</v>
      </c>
      <c r="G1014" s="135"/>
      <c r="H1014" s="131">
        <v>62.36</v>
      </c>
    </row>
    <row r="1015" spans="1:8" x14ac:dyDescent="0.2">
      <c r="B1015" s="135" t="s">
        <v>2769</v>
      </c>
      <c r="C1015" s="135" t="s">
        <v>3</v>
      </c>
      <c r="D1015" s="135"/>
      <c r="E1015" s="135" t="s">
        <v>614</v>
      </c>
      <c r="F1015" s="135" t="s">
        <v>5</v>
      </c>
      <c r="G1015" s="135"/>
      <c r="H1015" s="131">
        <v>10</v>
      </c>
    </row>
    <row r="1016" spans="1:8" x14ac:dyDescent="0.2">
      <c r="A1016" s="129" t="s">
        <v>568</v>
      </c>
      <c r="H1016" s="132">
        <v>772.9</v>
      </c>
    </row>
    <row r="1017" spans="1:8" x14ac:dyDescent="0.2">
      <c r="A1017" s="129" t="s">
        <v>360</v>
      </c>
    </row>
    <row r="1018" spans="1:8" x14ac:dyDescent="0.2">
      <c r="B1018" s="135" t="s">
        <v>838</v>
      </c>
      <c r="C1018" s="135" t="s">
        <v>3</v>
      </c>
      <c r="D1018" s="135"/>
      <c r="E1018" s="135" t="s">
        <v>603</v>
      </c>
      <c r="F1018" s="135" t="s">
        <v>5</v>
      </c>
      <c r="G1018" s="135"/>
      <c r="H1018" s="131">
        <v>395.25</v>
      </c>
    </row>
    <row r="1019" spans="1:8" x14ac:dyDescent="0.2">
      <c r="B1019" s="135" t="s">
        <v>838</v>
      </c>
      <c r="C1019" s="135" t="s">
        <v>3</v>
      </c>
      <c r="D1019" s="135"/>
      <c r="E1019" s="135" t="s">
        <v>603</v>
      </c>
      <c r="F1019" s="135" t="s">
        <v>5</v>
      </c>
      <c r="G1019" s="135"/>
      <c r="H1019" s="131">
        <v>0</v>
      </c>
    </row>
    <row r="1020" spans="1:8" x14ac:dyDescent="0.2">
      <c r="B1020" s="135" t="s">
        <v>824</v>
      </c>
      <c r="C1020" s="135" t="s">
        <v>339</v>
      </c>
      <c r="D1020" s="135" t="s">
        <v>837</v>
      </c>
      <c r="E1020" s="135"/>
      <c r="F1020" s="135" t="s">
        <v>5</v>
      </c>
      <c r="G1020" s="135" t="s">
        <v>548</v>
      </c>
      <c r="H1020" s="131">
        <v>7.2</v>
      </c>
    </row>
    <row r="1021" spans="1:8" x14ac:dyDescent="0.2">
      <c r="B1021" s="135" t="s">
        <v>824</v>
      </c>
      <c r="C1021" s="135" t="s">
        <v>3</v>
      </c>
      <c r="D1021" s="135"/>
      <c r="E1021" s="135" t="s">
        <v>1033</v>
      </c>
      <c r="F1021" s="135" t="s">
        <v>5</v>
      </c>
      <c r="G1021" s="135"/>
      <c r="H1021" s="131">
        <v>168.36</v>
      </c>
    </row>
    <row r="1022" spans="1:8" x14ac:dyDescent="0.2">
      <c r="B1022" s="135" t="s">
        <v>1012</v>
      </c>
      <c r="C1022" s="135" t="s">
        <v>3</v>
      </c>
      <c r="D1022" s="135"/>
      <c r="E1022" s="135" t="s">
        <v>642</v>
      </c>
      <c r="F1022" s="135" t="s">
        <v>5</v>
      </c>
      <c r="G1022" s="135"/>
      <c r="H1022" s="131">
        <v>25.77</v>
      </c>
    </row>
    <row r="1023" spans="1:8" x14ac:dyDescent="0.2">
      <c r="B1023" s="135" t="s">
        <v>1012</v>
      </c>
      <c r="C1023" s="135" t="s">
        <v>3</v>
      </c>
      <c r="D1023" s="135"/>
      <c r="E1023" s="135" t="s">
        <v>742</v>
      </c>
      <c r="F1023" s="135" t="s">
        <v>5</v>
      </c>
      <c r="G1023" s="135"/>
      <c r="H1023" s="131">
        <v>38.880000000000003</v>
      </c>
    </row>
    <row r="1024" spans="1:8" x14ac:dyDescent="0.2">
      <c r="B1024" s="135" t="s">
        <v>1034</v>
      </c>
      <c r="C1024" s="135" t="s">
        <v>3</v>
      </c>
      <c r="D1024" s="135"/>
      <c r="E1024" s="135" t="s">
        <v>603</v>
      </c>
      <c r="F1024" s="135" t="s">
        <v>5</v>
      </c>
      <c r="G1024" s="135"/>
      <c r="H1024" s="131">
        <v>395.25</v>
      </c>
    </row>
    <row r="1025" spans="2:8" x14ac:dyDescent="0.2">
      <c r="B1025" s="135" t="s">
        <v>1066</v>
      </c>
      <c r="C1025" s="135" t="s">
        <v>3</v>
      </c>
      <c r="D1025" s="135">
        <v>80794</v>
      </c>
      <c r="E1025" s="135" t="s">
        <v>1067</v>
      </c>
      <c r="F1025" s="135" t="s">
        <v>5</v>
      </c>
      <c r="G1025" s="135"/>
      <c r="H1025" s="131">
        <v>444</v>
      </c>
    </row>
    <row r="1026" spans="2:8" x14ac:dyDescent="0.2">
      <c r="B1026" s="135" t="s">
        <v>1021</v>
      </c>
      <c r="C1026" s="135" t="s">
        <v>3</v>
      </c>
      <c r="D1026" s="135"/>
      <c r="E1026" s="135" t="s">
        <v>1195</v>
      </c>
      <c r="F1026" s="135" t="s">
        <v>5</v>
      </c>
      <c r="G1026" s="135"/>
      <c r="H1026" s="131">
        <v>53.99</v>
      </c>
    </row>
    <row r="1027" spans="2:8" x14ac:dyDescent="0.2">
      <c r="B1027" s="135" t="s">
        <v>1015</v>
      </c>
      <c r="C1027" s="135" t="s">
        <v>3</v>
      </c>
      <c r="D1027" s="135"/>
      <c r="E1027" s="135" t="s">
        <v>1196</v>
      </c>
      <c r="F1027" s="135" t="s">
        <v>5</v>
      </c>
      <c r="G1027" s="135"/>
      <c r="H1027" s="131">
        <v>252</v>
      </c>
    </row>
    <row r="1028" spans="2:8" x14ac:dyDescent="0.2">
      <c r="B1028" s="135" t="s">
        <v>972</v>
      </c>
      <c r="C1028" s="135" t="s">
        <v>339</v>
      </c>
      <c r="D1028" s="135" t="s">
        <v>1031</v>
      </c>
      <c r="E1028" s="135"/>
      <c r="F1028" s="135" t="s">
        <v>5</v>
      </c>
      <c r="G1028" s="135" t="s">
        <v>548</v>
      </c>
      <c r="H1028" s="131">
        <v>7.2</v>
      </c>
    </row>
    <row r="1029" spans="2:8" x14ac:dyDescent="0.2">
      <c r="B1029" s="135" t="s">
        <v>1161</v>
      </c>
      <c r="C1029" s="135" t="s">
        <v>3</v>
      </c>
      <c r="D1029" s="135"/>
      <c r="E1029" s="135" t="s">
        <v>642</v>
      </c>
      <c r="F1029" s="135" t="s">
        <v>5</v>
      </c>
      <c r="G1029" s="135"/>
      <c r="H1029" s="131">
        <v>25.77</v>
      </c>
    </row>
    <row r="1030" spans="2:8" x14ac:dyDescent="0.2">
      <c r="B1030" s="135" t="s">
        <v>1161</v>
      </c>
      <c r="C1030" s="135" t="s">
        <v>3</v>
      </c>
      <c r="D1030" s="135"/>
      <c r="E1030" s="135" t="s">
        <v>742</v>
      </c>
      <c r="F1030" s="135" t="s">
        <v>5</v>
      </c>
      <c r="G1030" s="135"/>
      <c r="H1030" s="131">
        <v>38.880000000000003</v>
      </c>
    </row>
    <row r="1031" spans="2:8" x14ac:dyDescent="0.2">
      <c r="B1031" s="135" t="s">
        <v>1197</v>
      </c>
      <c r="C1031" s="135" t="s">
        <v>3</v>
      </c>
      <c r="D1031" s="135"/>
      <c r="E1031" s="135" t="s">
        <v>603</v>
      </c>
      <c r="F1031" s="135" t="s">
        <v>5</v>
      </c>
      <c r="G1031" s="135"/>
      <c r="H1031" s="131">
        <v>395.25</v>
      </c>
    </row>
    <row r="1032" spans="2:8" x14ac:dyDescent="0.2">
      <c r="B1032" s="135" t="s">
        <v>1378</v>
      </c>
      <c r="C1032" s="135" t="s">
        <v>3</v>
      </c>
      <c r="D1032" s="135"/>
      <c r="E1032" s="135" t="s">
        <v>1050</v>
      </c>
      <c r="F1032" s="135" t="s">
        <v>5</v>
      </c>
      <c r="G1032" s="135"/>
      <c r="H1032" s="131">
        <v>12.14</v>
      </c>
    </row>
    <row r="1033" spans="2:8" x14ac:dyDescent="0.2">
      <c r="B1033" s="135" t="s">
        <v>1168</v>
      </c>
      <c r="C1033" s="135" t="s">
        <v>339</v>
      </c>
      <c r="D1033" s="135" t="s">
        <v>1193</v>
      </c>
      <c r="E1033" s="135"/>
      <c r="F1033" s="135" t="s">
        <v>5</v>
      </c>
      <c r="G1033" s="135" t="s">
        <v>548</v>
      </c>
      <c r="H1033" s="131">
        <v>7.2</v>
      </c>
    </row>
    <row r="1034" spans="2:8" x14ac:dyDescent="0.2">
      <c r="B1034" s="135" t="s">
        <v>1280</v>
      </c>
      <c r="C1034" s="135" t="s">
        <v>3</v>
      </c>
      <c r="D1034" s="135"/>
      <c r="E1034" s="135" t="s">
        <v>642</v>
      </c>
      <c r="F1034" s="135" t="s">
        <v>5</v>
      </c>
      <c r="G1034" s="135"/>
      <c r="H1034" s="131">
        <v>25.77</v>
      </c>
    </row>
    <row r="1035" spans="2:8" x14ac:dyDescent="0.2">
      <c r="B1035" s="135" t="s">
        <v>1280</v>
      </c>
      <c r="C1035" s="135" t="s">
        <v>3</v>
      </c>
      <c r="D1035" s="135"/>
      <c r="E1035" s="135" t="s">
        <v>742</v>
      </c>
      <c r="F1035" s="135" t="s">
        <v>5</v>
      </c>
      <c r="G1035" s="135"/>
      <c r="H1035" s="131">
        <v>41.37</v>
      </c>
    </row>
    <row r="1036" spans="2:8" x14ac:dyDescent="0.2">
      <c r="B1036" s="135" t="s">
        <v>1289</v>
      </c>
      <c r="C1036" s="135" t="s">
        <v>3</v>
      </c>
      <c r="D1036" s="135"/>
      <c r="E1036" s="135" t="s">
        <v>603</v>
      </c>
      <c r="F1036" s="135" t="s">
        <v>5</v>
      </c>
      <c r="G1036" s="135"/>
      <c r="H1036" s="131">
        <v>395.25</v>
      </c>
    </row>
    <row r="1037" spans="2:8" x14ac:dyDescent="0.2">
      <c r="B1037" s="135" t="s">
        <v>1559</v>
      </c>
      <c r="C1037" s="135" t="s">
        <v>3</v>
      </c>
      <c r="D1037" s="135"/>
      <c r="E1037" s="135" t="s">
        <v>1245</v>
      </c>
      <c r="F1037" s="135" t="s">
        <v>5</v>
      </c>
      <c r="G1037" s="135"/>
      <c r="H1037" s="131">
        <v>159.9</v>
      </c>
    </row>
    <row r="1038" spans="2:8" x14ac:dyDescent="0.2">
      <c r="B1038" s="135" t="s">
        <v>1560</v>
      </c>
      <c r="C1038" s="135" t="s">
        <v>3</v>
      </c>
      <c r="D1038" s="135"/>
      <c r="E1038" s="135" t="s">
        <v>1561</v>
      </c>
      <c r="F1038" s="135" t="s">
        <v>5</v>
      </c>
      <c r="G1038" s="135"/>
      <c r="H1038" s="131">
        <v>38.880000000000003</v>
      </c>
    </row>
    <row r="1039" spans="2:8" x14ac:dyDescent="0.2">
      <c r="B1039" s="135" t="s">
        <v>1369</v>
      </c>
      <c r="C1039" s="135" t="s">
        <v>339</v>
      </c>
      <c r="D1039" s="135" t="s">
        <v>1372</v>
      </c>
      <c r="E1039" s="135"/>
      <c r="F1039" s="135" t="s">
        <v>5</v>
      </c>
      <c r="G1039" s="135" t="s">
        <v>548</v>
      </c>
      <c r="H1039" s="131">
        <v>7.2</v>
      </c>
    </row>
    <row r="1040" spans="2:8" x14ac:dyDescent="0.2">
      <c r="B1040" s="135" t="s">
        <v>1369</v>
      </c>
      <c r="C1040" s="135" t="s">
        <v>3</v>
      </c>
      <c r="D1040" s="135"/>
      <c r="E1040" s="135" t="s">
        <v>742</v>
      </c>
      <c r="F1040" s="135" t="s">
        <v>5</v>
      </c>
      <c r="G1040" s="135"/>
      <c r="H1040" s="131">
        <v>46.66</v>
      </c>
    </row>
    <row r="1041" spans="2:8" x14ac:dyDescent="0.2">
      <c r="B1041" s="135" t="s">
        <v>1369</v>
      </c>
      <c r="C1041" s="135" t="s">
        <v>3</v>
      </c>
      <c r="D1041" s="135"/>
      <c r="E1041" s="135" t="s">
        <v>642</v>
      </c>
      <c r="F1041" s="135" t="s">
        <v>5</v>
      </c>
      <c r="G1041" s="135"/>
      <c r="H1041" s="131">
        <v>25.63</v>
      </c>
    </row>
    <row r="1042" spans="2:8" x14ac:dyDescent="0.2">
      <c r="B1042" s="135" t="s">
        <v>1455</v>
      </c>
      <c r="C1042" s="135" t="s">
        <v>3</v>
      </c>
      <c r="D1042" s="135"/>
      <c r="E1042" s="135" t="s">
        <v>603</v>
      </c>
      <c r="F1042" s="135" t="s">
        <v>5</v>
      </c>
      <c r="G1042" s="135"/>
      <c r="H1042" s="131">
        <v>395.25</v>
      </c>
    </row>
    <row r="1043" spans="2:8" x14ac:dyDescent="0.2">
      <c r="B1043" s="135" t="s">
        <v>1548</v>
      </c>
      <c r="C1043" s="135" t="s">
        <v>339</v>
      </c>
      <c r="D1043" s="135" t="s">
        <v>1552</v>
      </c>
      <c r="E1043" s="135"/>
      <c r="F1043" s="135" t="s">
        <v>5</v>
      </c>
      <c r="G1043" s="135" t="s">
        <v>548</v>
      </c>
      <c r="H1043" s="131">
        <v>7.2</v>
      </c>
    </row>
    <row r="1044" spans="2:8" x14ac:dyDescent="0.2">
      <c r="B1044" s="135" t="s">
        <v>1634</v>
      </c>
      <c r="C1044" s="135" t="s">
        <v>3</v>
      </c>
      <c r="D1044" s="135"/>
      <c r="E1044" s="135" t="s">
        <v>642</v>
      </c>
      <c r="F1044" s="135" t="s">
        <v>5</v>
      </c>
      <c r="G1044" s="135"/>
      <c r="H1044" s="131">
        <v>25.63</v>
      </c>
    </row>
    <row r="1045" spans="2:8" x14ac:dyDescent="0.2">
      <c r="B1045" s="135" t="s">
        <v>1634</v>
      </c>
      <c r="C1045" s="135" t="s">
        <v>3</v>
      </c>
      <c r="D1045" s="135"/>
      <c r="E1045" s="135" t="s">
        <v>603</v>
      </c>
      <c r="F1045" s="135" t="s">
        <v>5</v>
      </c>
      <c r="G1045" s="135"/>
      <c r="H1045" s="131">
        <v>395.25</v>
      </c>
    </row>
    <row r="1046" spans="2:8" x14ac:dyDescent="0.2">
      <c r="B1046" s="135" t="s">
        <v>1634</v>
      </c>
      <c r="C1046" s="135" t="s">
        <v>3</v>
      </c>
      <c r="D1046" s="135"/>
      <c r="E1046" s="135" t="s">
        <v>742</v>
      </c>
      <c r="F1046" s="135" t="s">
        <v>5</v>
      </c>
      <c r="G1046" s="135"/>
      <c r="H1046" s="131">
        <v>46.66</v>
      </c>
    </row>
    <row r="1047" spans="2:8" x14ac:dyDescent="0.2">
      <c r="B1047" s="135" t="s">
        <v>1634</v>
      </c>
      <c r="C1047" s="135" t="s">
        <v>3</v>
      </c>
      <c r="D1047" s="135"/>
      <c r="E1047" s="135" t="s">
        <v>742</v>
      </c>
      <c r="F1047" s="135" t="s">
        <v>5</v>
      </c>
      <c r="G1047" s="135"/>
      <c r="H1047" s="131">
        <v>46.66</v>
      </c>
    </row>
    <row r="1048" spans="2:8" x14ac:dyDescent="0.2">
      <c r="B1048" s="135" t="s">
        <v>1711</v>
      </c>
      <c r="C1048" s="135" t="s">
        <v>3</v>
      </c>
      <c r="D1048" s="135"/>
      <c r="E1048" s="135" t="s">
        <v>1196</v>
      </c>
      <c r="F1048" s="135" t="s">
        <v>5</v>
      </c>
      <c r="G1048" s="135"/>
      <c r="H1048" s="131">
        <v>12</v>
      </c>
    </row>
    <row r="1049" spans="2:8" x14ac:dyDescent="0.2">
      <c r="B1049" s="135" t="s">
        <v>1624</v>
      </c>
      <c r="C1049" s="135" t="s">
        <v>339</v>
      </c>
      <c r="D1049" s="135" t="s">
        <v>1663</v>
      </c>
      <c r="E1049" s="135"/>
      <c r="F1049" s="135" t="s">
        <v>5</v>
      </c>
      <c r="G1049" s="135" t="s">
        <v>548</v>
      </c>
      <c r="H1049" s="131">
        <v>7.2</v>
      </c>
    </row>
    <row r="1050" spans="2:8" x14ac:dyDescent="0.2">
      <c r="B1050" s="135" t="s">
        <v>1911</v>
      </c>
      <c r="C1050" s="135" t="s">
        <v>3</v>
      </c>
      <c r="D1050" s="135"/>
      <c r="E1050" s="135" t="s">
        <v>742</v>
      </c>
      <c r="F1050" s="135" t="s">
        <v>5</v>
      </c>
      <c r="G1050" s="135"/>
      <c r="H1050" s="131">
        <v>25.63</v>
      </c>
    </row>
    <row r="1051" spans="2:8" x14ac:dyDescent="0.2">
      <c r="B1051" s="135" t="s">
        <v>1803</v>
      </c>
      <c r="C1051" s="135" t="s">
        <v>3</v>
      </c>
      <c r="D1051" s="135"/>
      <c r="E1051" s="135" t="s">
        <v>686</v>
      </c>
      <c r="F1051" s="135" t="s">
        <v>5</v>
      </c>
      <c r="G1051" s="135" t="s">
        <v>752</v>
      </c>
      <c r="H1051" s="131">
        <v>25.91</v>
      </c>
    </row>
    <row r="1052" spans="2:8" x14ac:dyDescent="0.2">
      <c r="B1052" s="135" t="s">
        <v>1835</v>
      </c>
      <c r="C1052" s="135" t="s">
        <v>1954</v>
      </c>
      <c r="D1052" s="135"/>
      <c r="E1052" s="135" t="s">
        <v>642</v>
      </c>
      <c r="F1052" s="135" t="s">
        <v>5</v>
      </c>
      <c r="G1052" s="135"/>
      <c r="H1052" s="131">
        <v>-2.86</v>
      </c>
    </row>
    <row r="1053" spans="2:8" x14ac:dyDescent="0.2">
      <c r="B1053" s="135" t="s">
        <v>1830</v>
      </c>
      <c r="C1053" s="135" t="s">
        <v>339</v>
      </c>
      <c r="D1053" s="135" t="s">
        <v>1897</v>
      </c>
      <c r="E1053" s="135"/>
      <c r="F1053" s="135" t="s">
        <v>5</v>
      </c>
      <c r="G1053" s="135" t="s">
        <v>548</v>
      </c>
      <c r="H1053" s="131">
        <v>7.2</v>
      </c>
    </row>
    <row r="1054" spans="2:8" x14ac:dyDescent="0.2">
      <c r="B1054" s="135" t="s">
        <v>2097</v>
      </c>
      <c r="C1054" s="135" t="s">
        <v>3</v>
      </c>
      <c r="D1054" s="135"/>
      <c r="E1054" s="135" t="s">
        <v>642</v>
      </c>
      <c r="F1054" s="135" t="s">
        <v>5</v>
      </c>
      <c r="G1054" s="135" t="s">
        <v>2118</v>
      </c>
      <c r="H1054" s="131">
        <v>46.66</v>
      </c>
    </row>
    <row r="1055" spans="2:8" x14ac:dyDescent="0.2">
      <c r="B1055" s="135" t="s">
        <v>2097</v>
      </c>
      <c r="C1055" s="135" t="s">
        <v>3</v>
      </c>
      <c r="D1055" s="135"/>
      <c r="E1055" s="135" t="s">
        <v>642</v>
      </c>
      <c r="F1055" s="135" t="s">
        <v>5</v>
      </c>
      <c r="G1055" s="135"/>
      <c r="H1055" s="131">
        <v>25.81</v>
      </c>
    </row>
    <row r="1056" spans="2:8" x14ac:dyDescent="0.2">
      <c r="B1056" s="135" t="s">
        <v>2119</v>
      </c>
      <c r="C1056" s="135" t="s">
        <v>3</v>
      </c>
      <c r="D1056" s="135"/>
      <c r="E1056" s="135" t="s">
        <v>603</v>
      </c>
      <c r="F1056" s="135" t="s">
        <v>5</v>
      </c>
      <c r="G1056" s="135"/>
      <c r="H1056" s="131">
        <v>395.25</v>
      </c>
    </row>
    <row r="1057" spans="2:8" x14ac:dyDescent="0.2">
      <c r="B1057" s="135" t="s">
        <v>2120</v>
      </c>
      <c r="C1057" s="135" t="s">
        <v>3</v>
      </c>
      <c r="D1057" s="135"/>
      <c r="E1057" s="135" t="s">
        <v>1050</v>
      </c>
      <c r="F1057" s="135" t="s">
        <v>5</v>
      </c>
      <c r="G1057" s="135" t="s">
        <v>1151</v>
      </c>
      <c r="H1057" s="131">
        <v>104.99</v>
      </c>
    </row>
    <row r="1058" spans="2:8" x14ac:dyDescent="0.2">
      <c r="B1058" s="135" t="s">
        <v>2101</v>
      </c>
      <c r="C1058" s="135" t="s">
        <v>3</v>
      </c>
      <c r="D1058" s="135"/>
      <c r="E1058" s="135" t="s">
        <v>686</v>
      </c>
      <c r="F1058" s="135" t="s">
        <v>5</v>
      </c>
      <c r="G1058" s="135" t="s">
        <v>752</v>
      </c>
      <c r="H1058" s="131">
        <v>25.91</v>
      </c>
    </row>
    <row r="1059" spans="2:8" x14ac:dyDescent="0.2">
      <c r="B1059" s="135" t="s">
        <v>2267</v>
      </c>
      <c r="C1059" s="135" t="s">
        <v>3</v>
      </c>
      <c r="D1059" s="135"/>
      <c r="E1059" s="135" t="s">
        <v>603</v>
      </c>
      <c r="F1059" s="135" t="s">
        <v>5</v>
      </c>
      <c r="G1059" s="135"/>
      <c r="H1059" s="131">
        <v>395.25</v>
      </c>
    </row>
    <row r="1060" spans="2:8" x14ac:dyDescent="0.2">
      <c r="B1060" s="135" t="s">
        <v>2081</v>
      </c>
      <c r="C1060" s="135" t="s">
        <v>339</v>
      </c>
      <c r="D1060" s="135" t="s">
        <v>2114</v>
      </c>
      <c r="E1060" s="135"/>
      <c r="F1060" s="135" t="s">
        <v>5</v>
      </c>
      <c r="G1060" s="135" t="s">
        <v>548</v>
      </c>
      <c r="H1060" s="131">
        <v>7.2</v>
      </c>
    </row>
    <row r="1061" spans="2:8" x14ac:dyDescent="0.2">
      <c r="B1061" s="135" t="s">
        <v>2246</v>
      </c>
      <c r="C1061" s="135" t="s">
        <v>3</v>
      </c>
      <c r="D1061" s="135"/>
      <c r="E1061" s="135" t="s">
        <v>742</v>
      </c>
      <c r="F1061" s="135" t="s">
        <v>5</v>
      </c>
      <c r="G1061" s="135"/>
      <c r="H1061" s="131">
        <v>46.66</v>
      </c>
    </row>
    <row r="1062" spans="2:8" x14ac:dyDescent="0.2">
      <c r="B1062" s="135" t="s">
        <v>2246</v>
      </c>
      <c r="C1062" s="135" t="s">
        <v>3</v>
      </c>
      <c r="D1062" s="135"/>
      <c r="E1062" s="135" t="s">
        <v>642</v>
      </c>
      <c r="F1062" s="135" t="s">
        <v>5</v>
      </c>
      <c r="G1062" s="135"/>
      <c r="H1062" s="131">
        <v>25.82</v>
      </c>
    </row>
    <row r="1063" spans="2:8" x14ac:dyDescent="0.2">
      <c r="B1063" s="135" t="s">
        <v>2268</v>
      </c>
      <c r="C1063" s="135" t="s">
        <v>3</v>
      </c>
      <c r="D1063" s="135"/>
      <c r="E1063" s="135" t="s">
        <v>686</v>
      </c>
      <c r="F1063" s="135" t="s">
        <v>5</v>
      </c>
      <c r="G1063" s="135" t="s">
        <v>752</v>
      </c>
      <c r="H1063" s="131">
        <v>25.91</v>
      </c>
    </row>
    <row r="1064" spans="2:8" x14ac:dyDescent="0.2">
      <c r="B1064" s="135" t="s">
        <v>2226</v>
      </c>
      <c r="C1064" s="135" t="s">
        <v>3</v>
      </c>
      <c r="D1064" s="135"/>
      <c r="E1064" s="135" t="s">
        <v>686</v>
      </c>
      <c r="F1064" s="135" t="s">
        <v>5</v>
      </c>
      <c r="G1064" s="135" t="s">
        <v>752</v>
      </c>
      <c r="H1064" s="131">
        <v>19.989999999999998</v>
      </c>
    </row>
    <row r="1065" spans="2:8" x14ac:dyDescent="0.2">
      <c r="B1065" s="135" t="s">
        <v>2265</v>
      </c>
      <c r="C1065" s="135" t="s">
        <v>3</v>
      </c>
      <c r="D1065" s="135"/>
      <c r="E1065" s="135" t="s">
        <v>603</v>
      </c>
      <c r="F1065" s="135" t="s">
        <v>5</v>
      </c>
      <c r="G1065" s="135"/>
      <c r="H1065" s="131">
        <v>395.25</v>
      </c>
    </row>
    <row r="1066" spans="2:8" x14ac:dyDescent="0.2">
      <c r="B1066" s="135" t="s">
        <v>2265</v>
      </c>
      <c r="C1066" s="135" t="s">
        <v>3</v>
      </c>
      <c r="D1066" s="135"/>
      <c r="E1066" s="135" t="s">
        <v>603</v>
      </c>
      <c r="F1066" s="135" t="s">
        <v>5</v>
      </c>
      <c r="G1066" s="135" t="s">
        <v>2385</v>
      </c>
      <c r="H1066" s="131">
        <v>395.25</v>
      </c>
    </row>
    <row r="1067" spans="2:8" x14ac:dyDescent="0.2">
      <c r="B1067" s="135" t="s">
        <v>2229</v>
      </c>
      <c r="C1067" s="135" t="s">
        <v>3</v>
      </c>
      <c r="D1067" s="135"/>
      <c r="E1067" s="135" t="s">
        <v>686</v>
      </c>
      <c r="F1067" s="135" t="s">
        <v>5</v>
      </c>
      <c r="G1067" s="135" t="s">
        <v>2386</v>
      </c>
      <c r="H1067" s="131">
        <v>25.91</v>
      </c>
    </row>
    <row r="1068" spans="2:8" x14ac:dyDescent="0.2">
      <c r="B1068" s="135" t="s">
        <v>2240</v>
      </c>
      <c r="C1068" s="135" t="s">
        <v>339</v>
      </c>
      <c r="D1068" s="135" t="s">
        <v>2264</v>
      </c>
      <c r="E1068" s="135"/>
      <c r="F1068" s="135" t="s">
        <v>5</v>
      </c>
      <c r="G1068" s="135" t="s">
        <v>548</v>
      </c>
      <c r="H1068" s="131">
        <v>7.2</v>
      </c>
    </row>
    <row r="1069" spans="2:8" x14ac:dyDescent="0.2">
      <c r="B1069" s="135" t="s">
        <v>2355</v>
      </c>
      <c r="C1069" s="135" t="s">
        <v>3</v>
      </c>
      <c r="D1069" s="135"/>
      <c r="E1069" s="135" t="s">
        <v>642</v>
      </c>
      <c r="F1069" s="135" t="s">
        <v>5</v>
      </c>
      <c r="G1069" s="135" t="s">
        <v>2387</v>
      </c>
      <c r="H1069" s="131">
        <v>25.82</v>
      </c>
    </row>
    <row r="1070" spans="2:8" x14ac:dyDescent="0.2">
      <c r="B1070" s="135" t="s">
        <v>2355</v>
      </c>
      <c r="C1070" s="135" t="s">
        <v>3</v>
      </c>
      <c r="D1070" s="135"/>
      <c r="E1070" s="135" t="s">
        <v>642</v>
      </c>
      <c r="F1070" s="135" t="s">
        <v>5</v>
      </c>
      <c r="G1070" s="135" t="s">
        <v>2388</v>
      </c>
      <c r="H1070" s="131">
        <v>46.66</v>
      </c>
    </row>
    <row r="1071" spans="2:8" x14ac:dyDescent="0.2">
      <c r="B1071" s="135" t="s">
        <v>2359</v>
      </c>
      <c r="C1071" s="135" t="s">
        <v>3</v>
      </c>
      <c r="D1071" s="135"/>
      <c r="E1071" s="135" t="s">
        <v>686</v>
      </c>
      <c r="F1071" s="135" t="s">
        <v>5</v>
      </c>
      <c r="G1071" s="135" t="s">
        <v>2389</v>
      </c>
      <c r="H1071" s="131">
        <v>25.91</v>
      </c>
    </row>
    <row r="1072" spans="2:8" x14ac:dyDescent="0.2">
      <c r="B1072" s="135" t="s">
        <v>2370</v>
      </c>
      <c r="C1072" s="135" t="s">
        <v>339</v>
      </c>
      <c r="D1072" s="135" t="s">
        <v>2383</v>
      </c>
      <c r="E1072" s="135"/>
      <c r="F1072" s="135" t="s">
        <v>5</v>
      </c>
      <c r="G1072" s="135" t="s">
        <v>548</v>
      </c>
      <c r="H1072" s="131">
        <v>7.2</v>
      </c>
    </row>
    <row r="1073" spans="1:8" x14ac:dyDescent="0.2">
      <c r="B1073" s="135" t="s">
        <v>2370</v>
      </c>
      <c r="C1073" s="135" t="s">
        <v>3</v>
      </c>
      <c r="D1073" s="135"/>
      <c r="E1073" s="135" t="s">
        <v>686</v>
      </c>
      <c r="F1073" s="135" t="s">
        <v>5</v>
      </c>
      <c r="G1073" s="135" t="s">
        <v>2390</v>
      </c>
      <c r="H1073" s="131">
        <v>1.63</v>
      </c>
    </row>
    <row r="1074" spans="1:8" x14ac:dyDescent="0.2">
      <c r="B1074" s="135" t="s">
        <v>2560</v>
      </c>
      <c r="C1074" s="135" t="s">
        <v>3</v>
      </c>
      <c r="D1074" s="135"/>
      <c r="E1074" s="135" t="s">
        <v>642</v>
      </c>
      <c r="F1074" s="135" t="s">
        <v>5</v>
      </c>
      <c r="G1074" s="135" t="s">
        <v>2387</v>
      </c>
      <c r="H1074" s="131">
        <v>25.92</v>
      </c>
    </row>
    <row r="1075" spans="1:8" x14ac:dyDescent="0.2">
      <c r="B1075" s="135" t="s">
        <v>2560</v>
      </c>
      <c r="C1075" s="135" t="s">
        <v>3</v>
      </c>
      <c r="D1075" s="135"/>
      <c r="E1075" s="135" t="s">
        <v>742</v>
      </c>
      <c r="F1075" s="135" t="s">
        <v>5</v>
      </c>
      <c r="G1075" s="135"/>
      <c r="H1075" s="131">
        <v>46.66</v>
      </c>
    </row>
    <row r="1076" spans="1:8" x14ac:dyDescent="0.2">
      <c r="B1076" s="135" t="s">
        <v>2545</v>
      </c>
      <c r="C1076" s="135" t="s">
        <v>3</v>
      </c>
      <c r="D1076" s="135"/>
      <c r="E1076" s="135" t="s">
        <v>2589</v>
      </c>
      <c r="F1076" s="135" t="s">
        <v>5</v>
      </c>
      <c r="G1076" s="135"/>
      <c r="H1076" s="131">
        <v>395.25</v>
      </c>
    </row>
    <row r="1077" spans="1:8" x14ac:dyDescent="0.2">
      <c r="B1077" s="135" t="s">
        <v>2564</v>
      </c>
      <c r="C1077" s="135" t="s">
        <v>3</v>
      </c>
      <c r="D1077" s="135"/>
      <c r="E1077" s="135" t="s">
        <v>642</v>
      </c>
      <c r="F1077" s="135" t="s">
        <v>5</v>
      </c>
      <c r="G1077" s="135"/>
      <c r="H1077" s="131">
        <v>25.92</v>
      </c>
    </row>
    <row r="1078" spans="1:8" x14ac:dyDescent="0.2">
      <c r="B1078" s="135" t="s">
        <v>2564</v>
      </c>
      <c r="C1078" s="135" t="s">
        <v>3</v>
      </c>
      <c r="D1078" s="135"/>
      <c r="E1078" s="135" t="s">
        <v>686</v>
      </c>
      <c r="F1078" s="135" t="s">
        <v>5</v>
      </c>
      <c r="G1078" s="135"/>
      <c r="H1078" s="131">
        <v>25.91</v>
      </c>
    </row>
    <row r="1079" spans="1:8" x14ac:dyDescent="0.2">
      <c r="B1079" s="135" t="s">
        <v>2548</v>
      </c>
      <c r="C1079" s="135" t="s">
        <v>339</v>
      </c>
      <c r="D1079" s="135" t="s">
        <v>2580</v>
      </c>
      <c r="E1079" s="135"/>
      <c r="F1079" s="135" t="s">
        <v>5</v>
      </c>
      <c r="G1079" s="135" t="s">
        <v>548</v>
      </c>
      <c r="H1079" s="131">
        <v>7.2</v>
      </c>
    </row>
    <row r="1080" spans="1:8" x14ac:dyDescent="0.2">
      <c r="B1080" s="135" t="s">
        <v>2736</v>
      </c>
      <c r="C1080" s="135" t="s">
        <v>3</v>
      </c>
      <c r="D1080" s="135"/>
      <c r="E1080" s="135" t="s">
        <v>742</v>
      </c>
      <c r="F1080" s="135" t="s">
        <v>5</v>
      </c>
      <c r="G1080" s="135"/>
      <c r="H1080" s="131">
        <v>46.66</v>
      </c>
    </row>
    <row r="1081" spans="1:8" x14ac:dyDescent="0.2">
      <c r="B1081" s="135" t="s">
        <v>2769</v>
      </c>
      <c r="C1081" s="135" t="s">
        <v>3</v>
      </c>
      <c r="D1081" s="135"/>
      <c r="E1081" s="135" t="s">
        <v>686</v>
      </c>
      <c r="F1081" s="135" t="s">
        <v>5</v>
      </c>
      <c r="G1081" s="135"/>
      <c r="H1081" s="131">
        <v>25.91</v>
      </c>
    </row>
    <row r="1082" spans="1:8" x14ac:dyDescent="0.2">
      <c r="B1082" s="135" t="s">
        <v>2771</v>
      </c>
      <c r="C1082" s="135" t="s">
        <v>3</v>
      </c>
      <c r="D1082" s="135"/>
      <c r="E1082" s="135" t="s">
        <v>642</v>
      </c>
      <c r="F1082" s="135" t="s">
        <v>5</v>
      </c>
      <c r="G1082" s="135"/>
      <c r="H1082" s="131">
        <v>25.92</v>
      </c>
    </row>
    <row r="1083" spans="1:8" x14ac:dyDescent="0.2">
      <c r="B1083" s="135" t="s">
        <v>2741</v>
      </c>
      <c r="C1083" s="135" t="s">
        <v>339</v>
      </c>
      <c r="D1083" s="135" t="s">
        <v>2762</v>
      </c>
      <c r="E1083" s="135"/>
      <c r="F1083" s="135" t="s">
        <v>5</v>
      </c>
      <c r="G1083" s="135" t="s">
        <v>548</v>
      </c>
      <c r="H1083" s="131">
        <v>7.2</v>
      </c>
    </row>
    <row r="1084" spans="1:8" x14ac:dyDescent="0.2">
      <c r="A1084" s="129" t="s">
        <v>558</v>
      </c>
      <c r="H1084" s="132">
        <v>6682.36</v>
      </c>
    </row>
    <row r="1085" spans="1:8" x14ac:dyDescent="0.2">
      <c r="A1085" s="129" t="s">
        <v>2121</v>
      </c>
    </row>
    <row r="1086" spans="1:8" x14ac:dyDescent="0.2">
      <c r="B1086" s="135" t="s">
        <v>1795</v>
      </c>
      <c r="C1086" s="135" t="s">
        <v>3</v>
      </c>
      <c r="D1086" s="135"/>
      <c r="E1086" s="135" t="s">
        <v>1050</v>
      </c>
      <c r="F1086" s="135" t="s">
        <v>5</v>
      </c>
      <c r="G1086" s="135" t="s">
        <v>1151</v>
      </c>
      <c r="H1086" s="131">
        <v>69.849999999999994</v>
      </c>
    </row>
    <row r="1087" spans="1:8" x14ac:dyDescent="0.2">
      <c r="A1087" s="129" t="s">
        <v>2122</v>
      </c>
      <c r="H1087" s="132">
        <v>69.849999999999994</v>
      </c>
    </row>
    <row r="1088" spans="1:8" x14ac:dyDescent="0.2">
      <c r="A1088" s="129" t="s">
        <v>1913</v>
      </c>
    </row>
    <row r="1089" spans="1:8" x14ac:dyDescent="0.2">
      <c r="B1089" s="135" t="s">
        <v>1793</v>
      </c>
      <c r="C1089" s="135" t="s">
        <v>547</v>
      </c>
      <c r="D1089" s="135">
        <v>70924</v>
      </c>
      <c r="E1089" s="135" t="s">
        <v>1044</v>
      </c>
      <c r="F1089" s="135" t="s">
        <v>5</v>
      </c>
      <c r="G1089" s="135" t="s">
        <v>1914</v>
      </c>
      <c r="H1089" s="131">
        <v>40</v>
      </c>
    </row>
    <row r="1090" spans="1:8" x14ac:dyDescent="0.2">
      <c r="B1090" s="135" t="s">
        <v>1808</v>
      </c>
      <c r="C1090" s="135" t="s">
        <v>3</v>
      </c>
      <c r="D1090" s="135"/>
      <c r="E1090" s="135" t="s">
        <v>2124</v>
      </c>
      <c r="F1090" s="135" t="s">
        <v>5</v>
      </c>
      <c r="G1090" s="135" t="s">
        <v>2118</v>
      </c>
      <c r="H1090" s="131">
        <v>85</v>
      </c>
    </row>
    <row r="1091" spans="1:8" x14ac:dyDescent="0.2">
      <c r="B1091" s="135" t="s">
        <v>1808</v>
      </c>
      <c r="C1091" s="135" t="s">
        <v>3</v>
      </c>
      <c r="D1091" s="135"/>
      <c r="E1091" s="135" t="s">
        <v>2123</v>
      </c>
      <c r="F1091" s="135" t="s">
        <v>5</v>
      </c>
      <c r="G1091" s="135"/>
      <c r="H1091" s="131">
        <v>68.44</v>
      </c>
    </row>
    <row r="1092" spans="1:8" x14ac:dyDescent="0.2">
      <c r="B1092" s="135" t="s">
        <v>1808</v>
      </c>
      <c r="C1092" s="135" t="s">
        <v>3</v>
      </c>
      <c r="D1092" s="135"/>
      <c r="E1092" s="135" t="s">
        <v>2125</v>
      </c>
      <c r="F1092" s="135" t="s">
        <v>5</v>
      </c>
      <c r="G1092" s="135"/>
      <c r="H1092" s="131">
        <v>45</v>
      </c>
    </row>
    <row r="1093" spans="1:8" x14ac:dyDescent="0.2">
      <c r="B1093" s="135" t="s">
        <v>1808</v>
      </c>
      <c r="C1093" s="135" t="s">
        <v>3</v>
      </c>
      <c r="D1093" s="135"/>
      <c r="E1093" s="135" t="s">
        <v>2123</v>
      </c>
      <c r="F1093" s="135" t="s">
        <v>5</v>
      </c>
      <c r="G1093" s="135"/>
      <c r="H1093" s="131">
        <v>68.44</v>
      </c>
    </row>
    <row r="1094" spans="1:8" x14ac:dyDescent="0.2">
      <c r="B1094" s="135" t="s">
        <v>2093</v>
      </c>
      <c r="C1094" s="135" t="s">
        <v>3</v>
      </c>
      <c r="D1094" s="135"/>
      <c r="E1094" s="135" t="s">
        <v>2126</v>
      </c>
      <c r="F1094" s="135" t="s">
        <v>5</v>
      </c>
      <c r="G1094" s="135"/>
      <c r="H1094" s="131">
        <v>484</v>
      </c>
    </row>
    <row r="1095" spans="1:8" x14ac:dyDescent="0.2">
      <c r="B1095" s="135" t="s">
        <v>2093</v>
      </c>
      <c r="C1095" s="135" t="s">
        <v>3</v>
      </c>
      <c r="D1095" s="135"/>
      <c r="E1095" s="135" t="s">
        <v>1202</v>
      </c>
      <c r="F1095" s="135" t="s">
        <v>5</v>
      </c>
      <c r="G1095" s="135" t="s">
        <v>2118</v>
      </c>
      <c r="H1095" s="131">
        <v>145.49</v>
      </c>
    </row>
    <row r="1096" spans="1:8" x14ac:dyDescent="0.2">
      <c r="B1096" s="135" t="s">
        <v>2097</v>
      </c>
      <c r="C1096" s="135" t="s">
        <v>3</v>
      </c>
      <c r="D1096" s="135"/>
      <c r="E1096" s="135" t="s">
        <v>2127</v>
      </c>
      <c r="F1096" s="135" t="s">
        <v>5</v>
      </c>
      <c r="G1096" s="135"/>
      <c r="H1096" s="131">
        <v>758.31</v>
      </c>
    </row>
    <row r="1097" spans="1:8" x14ac:dyDescent="0.2">
      <c r="B1097" s="135" t="s">
        <v>2128</v>
      </c>
      <c r="C1097" s="135" t="s">
        <v>3</v>
      </c>
      <c r="D1097" s="135"/>
      <c r="E1097" s="135" t="s">
        <v>2130</v>
      </c>
      <c r="F1097" s="135" t="s">
        <v>5</v>
      </c>
      <c r="G1097" s="135"/>
      <c r="H1097" s="131">
        <v>10</v>
      </c>
    </row>
    <row r="1098" spans="1:8" x14ac:dyDescent="0.2">
      <c r="B1098" s="135" t="s">
        <v>2128</v>
      </c>
      <c r="C1098" s="135" t="s">
        <v>3</v>
      </c>
      <c r="D1098" s="135"/>
      <c r="E1098" s="135" t="s">
        <v>2129</v>
      </c>
      <c r="F1098" s="135" t="s">
        <v>5</v>
      </c>
      <c r="G1098" s="135"/>
      <c r="H1098" s="131">
        <v>27.97</v>
      </c>
    </row>
    <row r="1099" spans="1:8" x14ac:dyDescent="0.2">
      <c r="B1099" s="135" t="s">
        <v>2119</v>
      </c>
      <c r="C1099" s="135" t="s">
        <v>3</v>
      </c>
      <c r="D1099" s="135"/>
      <c r="E1099" s="135" t="s">
        <v>2123</v>
      </c>
      <c r="F1099" s="135" t="s">
        <v>5</v>
      </c>
      <c r="G1099" s="135"/>
      <c r="H1099" s="131">
        <v>17.28</v>
      </c>
    </row>
    <row r="1100" spans="1:8" x14ac:dyDescent="0.2">
      <c r="B1100" s="135" t="s">
        <v>2269</v>
      </c>
      <c r="C1100" s="135" t="s">
        <v>3</v>
      </c>
      <c r="D1100" s="135"/>
      <c r="E1100" s="135" t="s">
        <v>2270</v>
      </c>
      <c r="F1100" s="135" t="s">
        <v>5</v>
      </c>
      <c r="G1100" s="135"/>
      <c r="H1100" s="131">
        <v>295</v>
      </c>
    </row>
    <row r="1101" spans="1:8" x14ac:dyDescent="0.2">
      <c r="B1101" s="135" t="s">
        <v>2112</v>
      </c>
      <c r="C1101" s="135" t="s">
        <v>3</v>
      </c>
      <c r="D1101" s="135"/>
      <c r="E1101" s="135" t="s">
        <v>2270</v>
      </c>
      <c r="F1101" s="135" t="s">
        <v>5</v>
      </c>
      <c r="G1101" s="135"/>
      <c r="H1101" s="131">
        <v>270</v>
      </c>
    </row>
    <row r="1102" spans="1:8" x14ac:dyDescent="0.2">
      <c r="B1102" s="135" t="s">
        <v>2741</v>
      </c>
      <c r="C1102" s="135" t="s">
        <v>547</v>
      </c>
      <c r="D1102" s="135" t="s">
        <v>2766</v>
      </c>
      <c r="E1102" s="135" t="s">
        <v>2775</v>
      </c>
      <c r="F1102" s="135" t="s">
        <v>5</v>
      </c>
      <c r="G1102" s="135" t="s">
        <v>2776</v>
      </c>
      <c r="H1102" s="131">
        <v>526.51</v>
      </c>
    </row>
    <row r="1103" spans="1:8" x14ac:dyDescent="0.2">
      <c r="A1103" s="129" t="s">
        <v>1915</v>
      </c>
      <c r="H1103" s="132">
        <v>2841.44</v>
      </c>
    </row>
    <row r="1104" spans="1:8" x14ac:dyDescent="0.2">
      <c r="A1104" s="129" t="s">
        <v>1035</v>
      </c>
    </row>
    <row r="1105" spans="1:8" x14ac:dyDescent="0.2">
      <c r="A1105" s="129" t="s">
        <v>1036</v>
      </c>
    </row>
    <row r="1106" spans="1:8" x14ac:dyDescent="0.2">
      <c r="B1106" s="135" t="s">
        <v>894</v>
      </c>
      <c r="C1106" s="135" t="s">
        <v>3</v>
      </c>
      <c r="D1106" s="135"/>
      <c r="E1106" s="135" t="s">
        <v>1037</v>
      </c>
      <c r="F1106" s="135" t="s">
        <v>5</v>
      </c>
      <c r="G1106" s="135"/>
      <c r="H1106" s="131">
        <v>67.239999999999995</v>
      </c>
    </row>
    <row r="1107" spans="1:8" x14ac:dyDescent="0.2">
      <c r="B1107" s="135" t="s">
        <v>1038</v>
      </c>
      <c r="C1107" s="135" t="s">
        <v>3</v>
      </c>
      <c r="D1107" s="135"/>
      <c r="E1107" s="135" t="s">
        <v>1039</v>
      </c>
      <c r="F1107" s="135" t="s">
        <v>5</v>
      </c>
      <c r="G1107" s="135"/>
      <c r="H1107" s="131">
        <v>11.66</v>
      </c>
    </row>
    <row r="1108" spans="1:8" x14ac:dyDescent="0.2">
      <c r="B1108" s="135" t="s">
        <v>1040</v>
      </c>
      <c r="C1108" s="135" t="s">
        <v>3</v>
      </c>
      <c r="D1108" s="135"/>
      <c r="E1108" s="135" t="s">
        <v>1041</v>
      </c>
      <c r="F1108" s="135" t="s">
        <v>5</v>
      </c>
      <c r="G1108" s="135"/>
      <c r="H1108" s="131">
        <v>11.49</v>
      </c>
    </row>
    <row r="1109" spans="1:8" x14ac:dyDescent="0.2">
      <c r="B1109" s="135" t="s">
        <v>1806</v>
      </c>
      <c r="C1109" s="135" t="s">
        <v>3</v>
      </c>
      <c r="D1109" s="135"/>
      <c r="E1109" s="135" t="s">
        <v>2131</v>
      </c>
      <c r="F1109" s="135" t="s">
        <v>5</v>
      </c>
      <c r="G1109" s="135"/>
      <c r="H1109" s="131">
        <v>19.63</v>
      </c>
    </row>
    <row r="1110" spans="1:8" x14ac:dyDescent="0.2">
      <c r="B1110" s="135" t="s">
        <v>2113</v>
      </c>
      <c r="C1110" s="135" t="s">
        <v>547</v>
      </c>
      <c r="D1110" s="135">
        <v>81324</v>
      </c>
      <c r="E1110" s="135" t="s">
        <v>2132</v>
      </c>
      <c r="F1110" s="135" t="s">
        <v>5</v>
      </c>
      <c r="G1110" s="135" t="s">
        <v>2133</v>
      </c>
      <c r="H1110" s="131">
        <v>13.13</v>
      </c>
    </row>
    <row r="1111" spans="1:8" x14ac:dyDescent="0.2">
      <c r="B1111" s="135" t="s">
        <v>2112</v>
      </c>
      <c r="C1111" s="135" t="s">
        <v>547</v>
      </c>
      <c r="D1111" s="135">
        <v>82824</v>
      </c>
      <c r="E1111" s="135" t="s">
        <v>1184</v>
      </c>
      <c r="F1111" s="135" t="s">
        <v>5</v>
      </c>
      <c r="G1111" s="135" t="s">
        <v>2134</v>
      </c>
      <c r="H1111" s="131">
        <v>50.99</v>
      </c>
    </row>
    <row r="1112" spans="1:8" x14ac:dyDescent="0.2">
      <c r="B1112" s="135" t="s">
        <v>2377</v>
      </c>
      <c r="C1112" s="135" t="s">
        <v>547</v>
      </c>
      <c r="D1112" s="135">
        <v>102124</v>
      </c>
      <c r="E1112" s="135" t="s">
        <v>1667</v>
      </c>
      <c r="F1112" s="135" t="s">
        <v>5</v>
      </c>
      <c r="G1112" s="135" t="s">
        <v>2391</v>
      </c>
      <c r="H1112" s="131">
        <v>278.05</v>
      </c>
    </row>
    <row r="1113" spans="1:8" x14ac:dyDescent="0.2">
      <c r="B1113" s="135" t="s">
        <v>2582</v>
      </c>
      <c r="C1113" s="135" t="s">
        <v>547</v>
      </c>
      <c r="D1113" s="135">
        <v>112524</v>
      </c>
      <c r="E1113" s="135" t="s">
        <v>1667</v>
      </c>
      <c r="F1113" s="135" t="s">
        <v>5</v>
      </c>
      <c r="G1113" s="135" t="s">
        <v>2590</v>
      </c>
      <c r="H1113" s="131">
        <v>69.010000000000005</v>
      </c>
    </row>
    <row r="1114" spans="1:8" x14ac:dyDescent="0.2">
      <c r="A1114" s="129" t="s">
        <v>1042</v>
      </c>
      <c r="H1114" s="132">
        <v>521.20000000000005</v>
      </c>
    </row>
    <row r="1115" spans="1:8" x14ac:dyDescent="0.2">
      <c r="A1115" s="129" t="s">
        <v>2135</v>
      </c>
    </row>
    <row r="1116" spans="1:8" x14ac:dyDescent="0.2">
      <c r="B1116" s="135" t="s">
        <v>1835</v>
      </c>
      <c r="C1116" s="135" t="s">
        <v>3</v>
      </c>
      <c r="D1116" s="135"/>
      <c r="E1116" s="135" t="s">
        <v>1050</v>
      </c>
      <c r="F1116" s="135" t="s">
        <v>5</v>
      </c>
      <c r="G1116" s="135" t="s">
        <v>1151</v>
      </c>
      <c r="H1116" s="131">
        <v>244.33</v>
      </c>
    </row>
    <row r="1117" spans="1:8" x14ac:dyDescent="0.2">
      <c r="B1117" s="135" t="s">
        <v>2136</v>
      </c>
      <c r="C1117" s="135" t="s">
        <v>3</v>
      </c>
      <c r="D1117" s="135"/>
      <c r="E1117" s="135" t="s">
        <v>2137</v>
      </c>
      <c r="F1117" s="135" t="s">
        <v>5</v>
      </c>
      <c r="G1117" s="135" t="s">
        <v>2118</v>
      </c>
      <c r="H1117" s="131">
        <v>569.32000000000005</v>
      </c>
    </row>
    <row r="1118" spans="1:8" x14ac:dyDescent="0.2">
      <c r="A1118" s="129" t="s">
        <v>2138</v>
      </c>
      <c r="H1118" s="132">
        <v>813.65</v>
      </c>
    </row>
    <row r="1119" spans="1:8" x14ac:dyDescent="0.2">
      <c r="A1119" s="129" t="s">
        <v>1043</v>
      </c>
    </row>
    <row r="1120" spans="1:8" x14ac:dyDescent="0.2">
      <c r="B1120" s="135" t="s">
        <v>1024</v>
      </c>
      <c r="C1120" s="135" t="s">
        <v>547</v>
      </c>
      <c r="D1120" s="135">
        <v>22124</v>
      </c>
      <c r="E1120" s="135" t="s">
        <v>1044</v>
      </c>
      <c r="F1120" s="135" t="s">
        <v>5</v>
      </c>
      <c r="G1120" s="135" t="s">
        <v>1045</v>
      </c>
      <c r="H1120" s="131">
        <v>30</v>
      </c>
    </row>
    <row r="1121" spans="1:8" x14ac:dyDescent="0.2">
      <c r="B1121" s="135" t="s">
        <v>1793</v>
      </c>
      <c r="C1121" s="135" t="s">
        <v>547</v>
      </c>
      <c r="D1121" s="135">
        <v>70924</v>
      </c>
      <c r="E1121" s="135" t="s">
        <v>1044</v>
      </c>
      <c r="F1121" s="135" t="s">
        <v>5</v>
      </c>
      <c r="G1121" s="135" t="s">
        <v>1916</v>
      </c>
      <c r="H1121" s="131">
        <v>96.48</v>
      </c>
    </row>
    <row r="1122" spans="1:8" x14ac:dyDescent="0.2">
      <c r="A1122" s="129" t="s">
        <v>1046</v>
      </c>
      <c r="H1122" s="132">
        <v>126.48</v>
      </c>
    </row>
    <row r="1123" spans="1:8" x14ac:dyDescent="0.2">
      <c r="A1123" s="129" t="s">
        <v>1198</v>
      </c>
    </row>
    <row r="1124" spans="1:8" x14ac:dyDescent="0.2">
      <c r="B1124" s="135" t="s">
        <v>1183</v>
      </c>
      <c r="C1124" s="135" t="s">
        <v>547</v>
      </c>
      <c r="D1124" s="135">
        <v>31224</v>
      </c>
      <c r="E1124" s="135" t="s">
        <v>1044</v>
      </c>
      <c r="F1124" s="135" t="s">
        <v>5</v>
      </c>
      <c r="G1124" s="135" t="s">
        <v>1199</v>
      </c>
      <c r="H1124" s="131">
        <v>84.42</v>
      </c>
    </row>
    <row r="1125" spans="1:8" x14ac:dyDescent="0.2">
      <c r="B1125" s="135" t="s">
        <v>1369</v>
      </c>
      <c r="C1125" s="135" t="s">
        <v>547</v>
      </c>
      <c r="D1125" s="135">
        <v>43024</v>
      </c>
      <c r="E1125" s="135" t="s">
        <v>1044</v>
      </c>
      <c r="F1125" s="135" t="s">
        <v>5</v>
      </c>
      <c r="G1125" s="135" t="s">
        <v>1379</v>
      </c>
      <c r="H1125" s="131">
        <v>100.5</v>
      </c>
    </row>
    <row r="1126" spans="1:8" x14ac:dyDescent="0.2">
      <c r="B1126" s="135" t="s">
        <v>1660</v>
      </c>
      <c r="C1126" s="135" t="s">
        <v>547</v>
      </c>
      <c r="D1126" s="135">
        <v>72925</v>
      </c>
      <c r="E1126" s="135" t="s">
        <v>1667</v>
      </c>
      <c r="F1126" s="135" t="s">
        <v>5</v>
      </c>
      <c r="G1126" s="135" t="s">
        <v>1668</v>
      </c>
      <c r="H1126" s="131">
        <v>143.38</v>
      </c>
    </row>
    <row r="1127" spans="1:8" x14ac:dyDescent="0.2">
      <c r="B1127" s="135" t="s">
        <v>1793</v>
      </c>
      <c r="C1127" s="135" t="s">
        <v>547</v>
      </c>
      <c r="D1127" s="135">
        <v>90425</v>
      </c>
      <c r="E1127" s="135" t="s">
        <v>1667</v>
      </c>
      <c r="F1127" s="135" t="s">
        <v>5</v>
      </c>
      <c r="G1127" s="135" t="s">
        <v>1917</v>
      </c>
      <c r="H1127" s="131">
        <v>78.39</v>
      </c>
    </row>
    <row r="1128" spans="1:8" x14ac:dyDescent="0.2">
      <c r="B1128" s="135" t="s">
        <v>1854</v>
      </c>
      <c r="C1128" s="135" t="s">
        <v>3</v>
      </c>
      <c r="D1128" s="135"/>
      <c r="E1128" s="135" t="s">
        <v>2139</v>
      </c>
      <c r="F1128" s="135" t="s">
        <v>5</v>
      </c>
      <c r="G1128" s="135"/>
      <c r="H1128" s="131">
        <v>146.88999999999999</v>
      </c>
    </row>
    <row r="1129" spans="1:8" x14ac:dyDescent="0.2">
      <c r="B1129" s="135" t="s">
        <v>2113</v>
      </c>
      <c r="C1129" s="135" t="s">
        <v>547</v>
      </c>
      <c r="D1129" s="135">
        <v>81324</v>
      </c>
      <c r="E1129" s="135" t="s">
        <v>1184</v>
      </c>
      <c r="F1129" s="135" t="s">
        <v>5</v>
      </c>
      <c r="G1129" s="135" t="s">
        <v>2140</v>
      </c>
      <c r="H1129" s="131">
        <v>407.44</v>
      </c>
    </row>
    <row r="1130" spans="1:8" x14ac:dyDescent="0.2">
      <c r="B1130" s="135" t="s">
        <v>2377</v>
      </c>
      <c r="C1130" s="135" t="s">
        <v>547</v>
      </c>
      <c r="D1130" s="135">
        <v>102124</v>
      </c>
      <c r="E1130" s="135" t="s">
        <v>1667</v>
      </c>
      <c r="F1130" s="135" t="s">
        <v>5</v>
      </c>
      <c r="G1130" s="135" t="s">
        <v>2392</v>
      </c>
      <c r="H1130" s="131">
        <v>214.4</v>
      </c>
    </row>
    <row r="1131" spans="1:8" x14ac:dyDescent="0.2">
      <c r="A1131" s="129" t="s">
        <v>1200</v>
      </c>
      <c r="H1131" s="132">
        <v>1175.42</v>
      </c>
    </row>
    <row r="1132" spans="1:8" x14ac:dyDescent="0.2">
      <c r="A1132" s="129" t="s">
        <v>1047</v>
      </c>
      <c r="H1132" s="132">
        <v>2636.75</v>
      </c>
    </row>
    <row r="1133" spans="1:8" x14ac:dyDescent="0.2">
      <c r="A1133" s="129" t="s">
        <v>1048</v>
      </c>
    </row>
    <row r="1134" spans="1:8" x14ac:dyDescent="0.2">
      <c r="A1134" s="129" t="s">
        <v>1049</v>
      </c>
    </row>
    <row r="1135" spans="1:8" x14ac:dyDescent="0.2">
      <c r="B1135" s="135" t="s">
        <v>1012</v>
      </c>
      <c r="C1135" s="135" t="s">
        <v>3</v>
      </c>
      <c r="D1135" s="135"/>
      <c r="E1135" s="135" t="s">
        <v>1050</v>
      </c>
      <c r="F1135" s="135" t="s">
        <v>5</v>
      </c>
      <c r="G1135" s="135"/>
      <c r="H1135" s="131">
        <v>23.95</v>
      </c>
    </row>
    <row r="1136" spans="1:8" x14ac:dyDescent="0.2">
      <c r="B1136" s="135" t="s">
        <v>1201</v>
      </c>
      <c r="C1136" s="135" t="s">
        <v>3</v>
      </c>
      <c r="D1136" s="135"/>
      <c r="E1136" s="135" t="s">
        <v>1202</v>
      </c>
      <c r="F1136" s="135" t="s">
        <v>5</v>
      </c>
      <c r="G1136" s="135"/>
      <c r="H1136" s="131">
        <v>34.44</v>
      </c>
    </row>
    <row r="1137" spans="1:8" x14ac:dyDescent="0.2">
      <c r="B1137" s="135" t="s">
        <v>1201</v>
      </c>
      <c r="C1137" s="135" t="s">
        <v>3</v>
      </c>
      <c r="D1137" s="135"/>
      <c r="E1137" s="135" t="s">
        <v>1202</v>
      </c>
      <c r="F1137" s="135" t="s">
        <v>5</v>
      </c>
      <c r="G1137" s="135"/>
      <c r="H1137" s="131">
        <v>55</v>
      </c>
    </row>
    <row r="1138" spans="1:8" x14ac:dyDescent="0.2">
      <c r="B1138" s="135" t="s">
        <v>1201</v>
      </c>
      <c r="C1138" s="135" t="s">
        <v>3</v>
      </c>
      <c r="D1138" s="135"/>
      <c r="E1138" s="135" t="s">
        <v>1202</v>
      </c>
      <c r="F1138" s="135" t="s">
        <v>5</v>
      </c>
      <c r="G1138" s="135"/>
      <c r="H1138" s="131">
        <v>11.24</v>
      </c>
    </row>
    <row r="1139" spans="1:8" x14ac:dyDescent="0.2">
      <c r="B1139" s="135" t="s">
        <v>1380</v>
      </c>
      <c r="C1139" s="135" t="s">
        <v>3</v>
      </c>
      <c r="D1139" s="135"/>
      <c r="E1139" s="135" t="s">
        <v>1050</v>
      </c>
      <c r="F1139" s="135" t="s">
        <v>5</v>
      </c>
      <c r="G1139" s="135"/>
      <c r="H1139" s="131">
        <v>19.489999999999998</v>
      </c>
    </row>
    <row r="1140" spans="1:8" x14ac:dyDescent="0.2">
      <c r="B1140" s="135" t="s">
        <v>1793</v>
      </c>
      <c r="C1140" s="135" t="s">
        <v>547</v>
      </c>
      <c r="D1140" s="135">
        <v>70924</v>
      </c>
      <c r="E1140" s="135" t="s">
        <v>1044</v>
      </c>
      <c r="F1140" s="135" t="s">
        <v>5</v>
      </c>
      <c r="G1140" s="135" t="s">
        <v>1918</v>
      </c>
      <c r="H1140" s="131">
        <v>92.46</v>
      </c>
    </row>
    <row r="1141" spans="1:8" x14ac:dyDescent="0.2">
      <c r="B1141" s="135" t="s">
        <v>1795</v>
      </c>
      <c r="C1141" s="135" t="s">
        <v>3</v>
      </c>
      <c r="D1141" s="135"/>
      <c r="E1141" s="135" t="s">
        <v>1050</v>
      </c>
      <c r="F1141" s="135" t="s">
        <v>5</v>
      </c>
      <c r="G1141" s="135"/>
      <c r="H1141" s="131">
        <v>17.09</v>
      </c>
    </row>
    <row r="1142" spans="1:8" x14ac:dyDescent="0.2">
      <c r="B1142" s="135" t="s">
        <v>1795</v>
      </c>
      <c r="C1142" s="135" t="s">
        <v>3</v>
      </c>
      <c r="D1142" s="135"/>
      <c r="E1142" s="135" t="s">
        <v>1050</v>
      </c>
      <c r="F1142" s="135" t="s">
        <v>5</v>
      </c>
      <c r="G1142" s="135" t="s">
        <v>1151</v>
      </c>
      <c r="H1142" s="131">
        <v>17.09</v>
      </c>
    </row>
    <row r="1143" spans="1:8" x14ac:dyDescent="0.2">
      <c r="B1143" s="135" t="s">
        <v>1808</v>
      </c>
      <c r="C1143" s="135" t="s">
        <v>3</v>
      </c>
      <c r="D1143" s="135"/>
      <c r="E1143" s="135" t="s">
        <v>1050</v>
      </c>
      <c r="F1143" s="135" t="s">
        <v>5</v>
      </c>
      <c r="G1143" s="135"/>
      <c r="H1143" s="131">
        <v>22.49</v>
      </c>
    </row>
    <row r="1144" spans="1:8" x14ac:dyDescent="0.2">
      <c r="A1144" s="129" t="s">
        <v>1051</v>
      </c>
      <c r="H1144" s="132">
        <v>293.25</v>
      </c>
    </row>
    <row r="1145" spans="1:8" x14ac:dyDescent="0.2">
      <c r="A1145" s="129" t="s">
        <v>1203</v>
      </c>
    </row>
    <row r="1146" spans="1:8" x14ac:dyDescent="0.2">
      <c r="B1146" s="135" t="s">
        <v>1015</v>
      </c>
      <c r="C1146" s="135" t="s">
        <v>3</v>
      </c>
      <c r="D1146" s="135"/>
      <c r="E1146" s="135" t="s">
        <v>1204</v>
      </c>
      <c r="F1146" s="135" t="s">
        <v>5</v>
      </c>
      <c r="G1146" s="135"/>
      <c r="H1146" s="131">
        <v>1.1000000000000001</v>
      </c>
    </row>
    <row r="1147" spans="1:8" x14ac:dyDescent="0.2">
      <c r="B1147" s="135" t="s">
        <v>1403</v>
      </c>
      <c r="C1147" s="135" t="s">
        <v>3</v>
      </c>
      <c r="D1147" s="135"/>
      <c r="E1147" s="135" t="s">
        <v>1558</v>
      </c>
      <c r="F1147" s="135" t="s">
        <v>5</v>
      </c>
      <c r="G1147" s="135"/>
      <c r="H1147" s="131">
        <v>53.99</v>
      </c>
    </row>
    <row r="1148" spans="1:8" x14ac:dyDescent="0.2">
      <c r="B1148" s="135" t="s">
        <v>2254</v>
      </c>
      <c r="C1148" s="135" t="s">
        <v>3</v>
      </c>
      <c r="D1148" s="135"/>
      <c r="E1148" s="135" t="s">
        <v>2393</v>
      </c>
      <c r="F1148" s="135" t="s">
        <v>5</v>
      </c>
      <c r="G1148" s="135" t="s">
        <v>2394</v>
      </c>
      <c r="H1148" s="131">
        <v>9.85</v>
      </c>
    </row>
    <row r="1149" spans="1:8" x14ac:dyDescent="0.2">
      <c r="B1149" s="135" t="s">
        <v>2377</v>
      </c>
      <c r="C1149" s="135" t="s">
        <v>547</v>
      </c>
      <c r="D1149" s="135">
        <v>102124</v>
      </c>
      <c r="E1149" s="135" t="s">
        <v>1667</v>
      </c>
      <c r="F1149" s="135" t="s">
        <v>5</v>
      </c>
      <c r="G1149" s="135" t="s">
        <v>2395</v>
      </c>
      <c r="H1149" s="131">
        <v>24.45</v>
      </c>
    </row>
    <row r="1150" spans="1:8" x14ac:dyDescent="0.2">
      <c r="B1150" s="135" t="s">
        <v>2582</v>
      </c>
      <c r="C1150" s="135" t="s">
        <v>547</v>
      </c>
      <c r="D1150" s="135">
        <v>112524</v>
      </c>
      <c r="E1150" s="135" t="s">
        <v>1667</v>
      </c>
      <c r="F1150" s="135" t="s">
        <v>5</v>
      </c>
      <c r="G1150" s="135" t="s">
        <v>2591</v>
      </c>
      <c r="H1150" s="131">
        <v>14.6</v>
      </c>
    </row>
    <row r="1151" spans="1:8" x14ac:dyDescent="0.2">
      <c r="B1151" s="135" t="s">
        <v>2769</v>
      </c>
      <c r="C1151" s="135" t="s">
        <v>3</v>
      </c>
      <c r="D1151" s="135"/>
      <c r="E1151" s="135" t="s">
        <v>1204</v>
      </c>
      <c r="F1151" s="135" t="s">
        <v>5</v>
      </c>
      <c r="G1151" s="135"/>
      <c r="H1151" s="131">
        <v>1.1000000000000001</v>
      </c>
    </row>
    <row r="1152" spans="1:8" x14ac:dyDescent="0.2">
      <c r="A1152" s="129" t="s">
        <v>1205</v>
      </c>
      <c r="H1152" s="132">
        <v>105.09</v>
      </c>
    </row>
    <row r="1153" spans="1:8" x14ac:dyDescent="0.2">
      <c r="A1153" s="129" t="s">
        <v>2271</v>
      </c>
      <c r="H1153" s="132">
        <v>398.34</v>
      </c>
    </row>
    <row r="1154" spans="1:8" x14ac:dyDescent="0.2">
      <c r="A1154" s="129" t="s">
        <v>1381</v>
      </c>
    </row>
    <row r="1155" spans="1:8" x14ac:dyDescent="0.2">
      <c r="B1155" s="135" t="s">
        <v>1214</v>
      </c>
      <c r="C1155" s="135" t="s">
        <v>3</v>
      </c>
      <c r="D1155" s="135"/>
      <c r="E1155" s="135" t="s">
        <v>1382</v>
      </c>
      <c r="F1155" s="135" t="s">
        <v>5</v>
      </c>
      <c r="G1155" s="135"/>
      <c r="H1155" s="131">
        <v>349</v>
      </c>
    </row>
    <row r="1156" spans="1:8" x14ac:dyDescent="0.2">
      <c r="B1156" s="135" t="s">
        <v>1280</v>
      </c>
      <c r="C1156" s="135" t="s">
        <v>3</v>
      </c>
      <c r="D1156" s="135"/>
      <c r="E1156" s="135" t="s">
        <v>1383</v>
      </c>
      <c r="F1156" s="135" t="s">
        <v>5</v>
      </c>
      <c r="G1156" s="135"/>
      <c r="H1156" s="131">
        <v>1000</v>
      </c>
    </row>
    <row r="1157" spans="1:8" x14ac:dyDescent="0.2">
      <c r="B1157" s="135" t="s">
        <v>1286</v>
      </c>
      <c r="C1157" s="135" t="s">
        <v>3</v>
      </c>
      <c r="D1157" s="135"/>
      <c r="E1157" s="135" t="s">
        <v>1384</v>
      </c>
      <c r="F1157" s="135" t="s">
        <v>5</v>
      </c>
      <c r="G1157" s="135"/>
      <c r="H1157" s="131">
        <v>208</v>
      </c>
    </row>
    <row r="1158" spans="1:8" x14ac:dyDescent="0.2">
      <c r="B1158" s="135" t="s">
        <v>1793</v>
      </c>
      <c r="C1158" s="135" t="s">
        <v>547</v>
      </c>
      <c r="D1158" s="135">
        <v>70924</v>
      </c>
      <c r="E1158" s="135" t="s">
        <v>1044</v>
      </c>
      <c r="F1158" s="135" t="s">
        <v>5</v>
      </c>
      <c r="G1158" s="135" t="s">
        <v>1919</v>
      </c>
      <c r="H1158" s="131">
        <v>140</v>
      </c>
    </row>
    <row r="1159" spans="1:8" x14ac:dyDescent="0.2">
      <c r="A1159" s="129" t="s">
        <v>1385</v>
      </c>
      <c r="H1159" s="132">
        <v>1697</v>
      </c>
    </row>
    <row r="1160" spans="1:8" x14ac:dyDescent="0.2">
      <c r="A1160" s="129" t="s">
        <v>1920</v>
      </c>
    </row>
    <row r="1161" spans="1:8" x14ac:dyDescent="0.2">
      <c r="B1161" s="135" t="s">
        <v>1793</v>
      </c>
      <c r="C1161" s="135" t="s">
        <v>547</v>
      </c>
      <c r="D1161" s="135">
        <v>70924</v>
      </c>
      <c r="E1161" s="135" t="s">
        <v>1922</v>
      </c>
      <c r="F1161" s="135" t="s">
        <v>5</v>
      </c>
      <c r="G1161" s="135" t="s">
        <v>1923</v>
      </c>
      <c r="H1161" s="131">
        <v>765</v>
      </c>
    </row>
    <row r="1162" spans="1:8" x14ac:dyDescent="0.2">
      <c r="B1162" s="135" t="s">
        <v>1793</v>
      </c>
      <c r="C1162" s="135" t="s">
        <v>547</v>
      </c>
      <c r="D1162" s="135">
        <v>70924</v>
      </c>
      <c r="E1162" s="135" t="s">
        <v>1044</v>
      </c>
      <c r="F1162" s="135" t="s">
        <v>5</v>
      </c>
      <c r="G1162" s="135" t="s">
        <v>1921</v>
      </c>
      <c r="H1162" s="131">
        <v>19.95</v>
      </c>
    </row>
    <row r="1163" spans="1:8" x14ac:dyDescent="0.2">
      <c r="B1163" s="135" t="s">
        <v>2377</v>
      </c>
      <c r="C1163" s="135" t="s">
        <v>547</v>
      </c>
      <c r="D1163" s="135">
        <v>102124</v>
      </c>
      <c r="E1163" s="135" t="s">
        <v>1667</v>
      </c>
      <c r="F1163" s="135" t="s">
        <v>5</v>
      </c>
      <c r="G1163" s="135">
        <v>72324</v>
      </c>
      <c r="H1163" s="131">
        <v>22.85</v>
      </c>
    </row>
    <row r="1164" spans="1:8" x14ac:dyDescent="0.2">
      <c r="A1164" s="129" t="s">
        <v>1924</v>
      </c>
      <c r="H1164" s="132">
        <v>807.8</v>
      </c>
    </row>
    <row r="1165" spans="1:8" x14ac:dyDescent="0.2">
      <c r="A1165" s="129" t="s">
        <v>1052</v>
      </c>
    </row>
    <row r="1166" spans="1:8" x14ac:dyDescent="0.2">
      <c r="B1166" s="135" t="s">
        <v>824</v>
      </c>
      <c r="C1166" s="135" t="s">
        <v>3</v>
      </c>
      <c r="D1166" s="135"/>
      <c r="E1166" s="135" t="s">
        <v>1050</v>
      </c>
      <c r="F1166" s="135" t="s">
        <v>5</v>
      </c>
      <c r="G1166" s="135"/>
      <c r="H1166" s="131">
        <v>231.21</v>
      </c>
    </row>
    <row r="1167" spans="1:8" x14ac:dyDescent="0.2">
      <c r="B1167" s="135" t="s">
        <v>1793</v>
      </c>
      <c r="C1167" s="135" t="s">
        <v>547</v>
      </c>
      <c r="D1167" s="135">
        <v>70925</v>
      </c>
      <c r="E1167" s="135" t="s">
        <v>1925</v>
      </c>
      <c r="F1167" s="135" t="s">
        <v>5</v>
      </c>
      <c r="G1167" s="135" t="s">
        <v>1926</v>
      </c>
      <c r="H1167" s="131">
        <v>774.16</v>
      </c>
    </row>
    <row r="1168" spans="1:8" x14ac:dyDescent="0.2">
      <c r="B1168" s="135" t="s">
        <v>1793</v>
      </c>
      <c r="C1168" s="135" t="s">
        <v>547</v>
      </c>
      <c r="D1168" s="135">
        <v>70925</v>
      </c>
      <c r="E1168" s="135" t="s">
        <v>1925</v>
      </c>
      <c r="F1168" s="135" t="s">
        <v>5</v>
      </c>
      <c r="G1168" s="135" t="s">
        <v>1927</v>
      </c>
      <c r="H1168" s="131">
        <v>777.2</v>
      </c>
    </row>
    <row r="1169" spans="1:8" x14ac:dyDescent="0.2">
      <c r="B1169" s="135" t="s">
        <v>2243</v>
      </c>
      <c r="C1169" s="135" t="s">
        <v>339</v>
      </c>
      <c r="D1169" s="135" t="s">
        <v>2272</v>
      </c>
      <c r="E1169" s="135"/>
      <c r="F1169" s="135" t="s">
        <v>5</v>
      </c>
      <c r="G1169" s="135" t="s">
        <v>2273</v>
      </c>
      <c r="H1169" s="131">
        <v>53.02</v>
      </c>
    </row>
    <row r="1170" spans="1:8" x14ac:dyDescent="0.2">
      <c r="A1170" s="129" t="s">
        <v>1053</v>
      </c>
      <c r="H1170" s="132">
        <v>1835.59</v>
      </c>
    </row>
    <row r="1171" spans="1:8" x14ac:dyDescent="0.2">
      <c r="A1171" s="129" t="s">
        <v>1928</v>
      </c>
    </row>
    <row r="1172" spans="1:8" x14ac:dyDescent="0.2">
      <c r="B1172" s="135" t="s">
        <v>1929</v>
      </c>
      <c r="C1172" s="135" t="s">
        <v>547</v>
      </c>
      <c r="D1172" s="135">
        <v>71124</v>
      </c>
      <c r="E1172" s="135" t="s">
        <v>1930</v>
      </c>
      <c r="F1172" s="135" t="s">
        <v>5</v>
      </c>
      <c r="G1172" s="135" t="s">
        <v>1931</v>
      </c>
      <c r="H1172" s="131">
        <v>1344.2</v>
      </c>
    </row>
    <row r="1173" spans="1:8" x14ac:dyDescent="0.2">
      <c r="A1173" s="129" t="s">
        <v>1932</v>
      </c>
      <c r="H1173" s="132">
        <v>1344.2</v>
      </c>
    </row>
    <row r="1174" spans="1:8" x14ac:dyDescent="0.2">
      <c r="A1174" s="129" t="s">
        <v>2274</v>
      </c>
    </row>
    <row r="1175" spans="1:8" x14ac:dyDescent="0.2">
      <c r="B1175" s="135" t="s">
        <v>2275</v>
      </c>
      <c r="C1175" s="135" t="s">
        <v>3</v>
      </c>
      <c r="D1175" s="135"/>
      <c r="E1175" s="135" t="s">
        <v>2276</v>
      </c>
      <c r="F1175" s="135" t="s">
        <v>5</v>
      </c>
      <c r="G1175" s="135"/>
      <c r="H1175" s="131">
        <v>30</v>
      </c>
    </row>
    <row r="1176" spans="1:8" x14ac:dyDescent="0.2">
      <c r="A1176" s="129" t="s">
        <v>2277</v>
      </c>
      <c r="H1176" s="132">
        <v>30</v>
      </c>
    </row>
    <row r="1177" spans="1:8" x14ac:dyDescent="0.2">
      <c r="A1177" s="129" t="s">
        <v>1562</v>
      </c>
    </row>
    <row r="1178" spans="1:8" x14ac:dyDescent="0.2">
      <c r="B1178" s="135" t="s">
        <v>1312</v>
      </c>
      <c r="C1178" s="135" t="s">
        <v>3</v>
      </c>
      <c r="D1178" s="135"/>
      <c r="E1178" s="135" t="s">
        <v>1563</v>
      </c>
      <c r="F1178" s="135" t="s">
        <v>5</v>
      </c>
      <c r="G1178" s="135"/>
      <c r="H1178" s="131">
        <v>875</v>
      </c>
    </row>
    <row r="1179" spans="1:8" x14ac:dyDescent="0.2">
      <c r="A1179" s="129" t="s">
        <v>1564</v>
      </c>
      <c r="H1179" s="132">
        <v>875</v>
      </c>
    </row>
    <row r="1180" spans="1:8" x14ac:dyDescent="0.2">
      <c r="A1180" s="129" t="s">
        <v>1054</v>
      </c>
    </row>
    <row r="1181" spans="1:8" x14ac:dyDescent="0.2">
      <c r="B1181" s="135" t="s">
        <v>900</v>
      </c>
      <c r="C1181" s="135" t="s">
        <v>3</v>
      </c>
      <c r="D1181" s="135"/>
      <c r="E1181" s="135" t="s">
        <v>1055</v>
      </c>
      <c r="F1181" s="135" t="s">
        <v>5</v>
      </c>
      <c r="G1181" s="135"/>
      <c r="H1181" s="131">
        <v>876</v>
      </c>
    </row>
    <row r="1182" spans="1:8" x14ac:dyDescent="0.2">
      <c r="B1182" s="135" t="s">
        <v>1201</v>
      </c>
      <c r="C1182" s="135" t="s">
        <v>3</v>
      </c>
      <c r="D1182" s="135"/>
      <c r="E1182" s="135" t="s">
        <v>1202</v>
      </c>
      <c r="F1182" s="135" t="s">
        <v>5</v>
      </c>
      <c r="G1182" s="135"/>
      <c r="H1182" s="131">
        <v>31.83</v>
      </c>
    </row>
    <row r="1183" spans="1:8" x14ac:dyDescent="0.2">
      <c r="B1183" s="135" t="s">
        <v>1197</v>
      </c>
      <c r="C1183" s="135" t="s">
        <v>3</v>
      </c>
      <c r="D1183" s="135"/>
      <c r="E1183" s="135" t="s">
        <v>1055</v>
      </c>
      <c r="F1183" s="135" t="s">
        <v>5</v>
      </c>
      <c r="G1183" s="135"/>
      <c r="H1183" s="131">
        <v>465</v>
      </c>
    </row>
    <row r="1184" spans="1:8" x14ac:dyDescent="0.2">
      <c r="B1184" s="135" t="s">
        <v>1386</v>
      </c>
      <c r="C1184" s="135" t="s">
        <v>3</v>
      </c>
      <c r="D1184" s="135"/>
      <c r="E1184" s="135" t="s">
        <v>1055</v>
      </c>
      <c r="F1184" s="135" t="s">
        <v>5</v>
      </c>
      <c r="G1184" s="135"/>
      <c r="H1184" s="131">
        <v>465</v>
      </c>
    </row>
    <row r="1185" spans="1:8" x14ac:dyDescent="0.2">
      <c r="B1185" s="135" t="s">
        <v>1793</v>
      </c>
      <c r="C1185" s="135" t="s">
        <v>547</v>
      </c>
      <c r="D1185" s="135">
        <v>70925</v>
      </c>
      <c r="E1185" s="135" t="s">
        <v>1955</v>
      </c>
      <c r="F1185" s="135" t="s">
        <v>5</v>
      </c>
      <c r="G1185" s="135" t="s">
        <v>1956</v>
      </c>
      <c r="H1185" s="131">
        <v>100</v>
      </c>
    </row>
    <row r="1186" spans="1:8" x14ac:dyDescent="0.2">
      <c r="A1186" s="129" t="s">
        <v>1056</v>
      </c>
      <c r="H1186" s="132">
        <v>1937.83</v>
      </c>
    </row>
    <row r="1187" spans="1:8" x14ac:dyDescent="0.2">
      <c r="A1187" s="129" t="s">
        <v>640</v>
      </c>
    </row>
    <row r="1188" spans="1:8" x14ac:dyDescent="0.2">
      <c r="B1188" s="135" t="s">
        <v>821</v>
      </c>
      <c r="C1188" s="135" t="s">
        <v>3</v>
      </c>
      <c r="D1188" s="135"/>
      <c r="E1188" s="135" t="s">
        <v>742</v>
      </c>
      <c r="F1188" s="135" t="s">
        <v>5</v>
      </c>
      <c r="G1188" s="135"/>
      <c r="H1188" s="131">
        <v>38.880000000000003</v>
      </c>
    </row>
    <row r="1189" spans="1:8" x14ac:dyDescent="0.2">
      <c r="B1189" s="135" t="s">
        <v>821</v>
      </c>
      <c r="C1189" s="135" t="s">
        <v>3</v>
      </c>
      <c r="D1189" s="135"/>
      <c r="E1189" s="135" t="s">
        <v>742</v>
      </c>
      <c r="F1189" s="135" t="s">
        <v>5</v>
      </c>
      <c r="G1189" s="135"/>
      <c r="H1189" s="131">
        <v>0</v>
      </c>
    </row>
    <row r="1190" spans="1:8" x14ac:dyDescent="0.2">
      <c r="A1190" s="129" t="s">
        <v>641</v>
      </c>
      <c r="H1190" s="132">
        <v>38.880000000000003</v>
      </c>
    </row>
    <row r="1191" spans="1:8" x14ac:dyDescent="0.2">
      <c r="A1191" s="129" t="s">
        <v>2141</v>
      </c>
    </row>
    <row r="1192" spans="1:8" x14ac:dyDescent="0.2">
      <c r="A1192" s="129" t="s">
        <v>2142</v>
      </c>
    </row>
    <row r="1193" spans="1:8" x14ac:dyDescent="0.2">
      <c r="B1193" s="135" t="s">
        <v>1806</v>
      </c>
      <c r="C1193" s="135" t="s">
        <v>3</v>
      </c>
      <c r="D1193" s="135"/>
      <c r="E1193" s="135" t="s">
        <v>1050</v>
      </c>
      <c r="F1193" s="135" t="s">
        <v>5</v>
      </c>
      <c r="G1193" s="135"/>
      <c r="H1193" s="131">
        <v>539.98</v>
      </c>
    </row>
    <row r="1194" spans="1:8" x14ac:dyDescent="0.2">
      <c r="A1194" s="129" t="s">
        <v>2143</v>
      </c>
      <c r="H1194" s="132">
        <v>539.98</v>
      </c>
    </row>
    <row r="1195" spans="1:8" x14ac:dyDescent="0.2">
      <c r="A1195" s="129" t="s">
        <v>2144</v>
      </c>
    </row>
    <row r="1196" spans="1:8" x14ac:dyDescent="0.2">
      <c r="B1196" s="135" t="s">
        <v>1613</v>
      </c>
      <c r="C1196" s="135" t="s">
        <v>3</v>
      </c>
      <c r="D1196" s="135"/>
      <c r="E1196" s="135" t="s">
        <v>1050</v>
      </c>
      <c r="F1196" s="135" t="s">
        <v>5</v>
      </c>
      <c r="G1196" s="135"/>
      <c r="H1196" s="131">
        <v>10.38</v>
      </c>
    </row>
    <row r="1197" spans="1:8" x14ac:dyDescent="0.2">
      <c r="B1197" s="135" t="s">
        <v>1891</v>
      </c>
      <c r="C1197" s="135" t="s">
        <v>3</v>
      </c>
      <c r="D1197" s="135"/>
      <c r="E1197" s="135" t="s">
        <v>1050</v>
      </c>
      <c r="F1197" s="135" t="s">
        <v>5</v>
      </c>
      <c r="G1197" s="135"/>
      <c r="H1197" s="131">
        <v>43.35</v>
      </c>
    </row>
    <row r="1198" spans="1:8" x14ac:dyDescent="0.2">
      <c r="B1198" s="135" t="s">
        <v>2145</v>
      </c>
      <c r="C1198" s="135" t="s">
        <v>3</v>
      </c>
      <c r="D1198" s="135"/>
      <c r="E1198" s="135" t="s">
        <v>1050</v>
      </c>
      <c r="F1198" s="135" t="s">
        <v>5</v>
      </c>
      <c r="G1198" s="135"/>
      <c r="H1198" s="131">
        <v>64.98</v>
      </c>
    </row>
    <row r="1199" spans="1:8" x14ac:dyDescent="0.2">
      <c r="B1199" s="135" t="s">
        <v>2145</v>
      </c>
      <c r="C1199" s="135" t="s">
        <v>3</v>
      </c>
      <c r="D1199" s="135"/>
      <c r="E1199" s="135" t="s">
        <v>1050</v>
      </c>
      <c r="F1199" s="135" t="s">
        <v>5</v>
      </c>
      <c r="G1199" s="135"/>
      <c r="H1199" s="131">
        <v>113.99</v>
      </c>
    </row>
    <row r="1200" spans="1:8" x14ac:dyDescent="0.2">
      <c r="B1200" s="135" t="s">
        <v>2112</v>
      </c>
      <c r="C1200" s="135" t="s">
        <v>547</v>
      </c>
      <c r="D1200" s="135">
        <v>82824</v>
      </c>
      <c r="E1200" s="135" t="s">
        <v>1401</v>
      </c>
      <c r="F1200" s="135" t="s">
        <v>5</v>
      </c>
      <c r="G1200" s="135" t="s">
        <v>2147</v>
      </c>
      <c r="H1200" s="131">
        <v>75.569999999999993</v>
      </c>
    </row>
    <row r="1201" spans="1:8" x14ac:dyDescent="0.2">
      <c r="B1201" s="135" t="s">
        <v>2112</v>
      </c>
      <c r="C1201" s="135" t="s">
        <v>547</v>
      </c>
      <c r="D1201" s="135">
        <v>82824</v>
      </c>
      <c r="E1201" s="135" t="s">
        <v>1401</v>
      </c>
      <c r="F1201" s="135" t="s">
        <v>5</v>
      </c>
      <c r="G1201" s="135" t="s">
        <v>2146</v>
      </c>
      <c r="H1201" s="131">
        <v>71.989999999999995</v>
      </c>
    </row>
    <row r="1202" spans="1:8" x14ac:dyDescent="0.2">
      <c r="B1202" s="135" t="s">
        <v>2260</v>
      </c>
      <c r="C1202" s="135" t="s">
        <v>547</v>
      </c>
      <c r="D1202" s="135">
        <v>91024</v>
      </c>
      <c r="E1202" s="135" t="s">
        <v>1401</v>
      </c>
      <c r="F1202" s="135" t="s">
        <v>5</v>
      </c>
      <c r="G1202" s="135" t="s">
        <v>2278</v>
      </c>
      <c r="H1202" s="131">
        <v>10.49</v>
      </c>
    </row>
    <row r="1203" spans="1:8" x14ac:dyDescent="0.2">
      <c r="B1203" s="135" t="s">
        <v>2422</v>
      </c>
      <c r="C1203" s="135" t="s">
        <v>3</v>
      </c>
      <c r="D1203" s="135"/>
      <c r="E1203" s="135" t="s">
        <v>1050</v>
      </c>
      <c r="F1203" s="135" t="s">
        <v>5</v>
      </c>
      <c r="G1203" s="135" t="s">
        <v>2423</v>
      </c>
      <c r="H1203" s="131">
        <v>477</v>
      </c>
    </row>
    <row r="1204" spans="1:8" x14ac:dyDescent="0.2">
      <c r="B1204" s="135" t="s">
        <v>2352</v>
      </c>
      <c r="C1204" s="135" t="s">
        <v>3</v>
      </c>
      <c r="D1204" s="135"/>
      <c r="E1204" s="135" t="s">
        <v>1950</v>
      </c>
      <c r="F1204" s="135" t="s">
        <v>5</v>
      </c>
      <c r="G1204" s="135"/>
      <c r="H1204" s="131">
        <v>37.020000000000003</v>
      </c>
    </row>
    <row r="1205" spans="1:8" x14ac:dyDescent="0.2">
      <c r="A1205" s="129" t="s">
        <v>2148</v>
      </c>
      <c r="H1205" s="132">
        <v>904.77</v>
      </c>
    </row>
    <row r="1206" spans="1:8" x14ac:dyDescent="0.2">
      <c r="A1206" s="129" t="s">
        <v>2149</v>
      </c>
      <c r="H1206" s="132">
        <v>1444.75</v>
      </c>
    </row>
    <row r="1207" spans="1:8" x14ac:dyDescent="0.2">
      <c r="A1207" s="129" t="s">
        <v>2150</v>
      </c>
    </row>
    <row r="1208" spans="1:8" x14ac:dyDescent="0.2">
      <c r="A1208" s="129" t="s">
        <v>2151</v>
      </c>
    </row>
    <row r="1209" spans="1:8" x14ac:dyDescent="0.2">
      <c r="B1209" s="135" t="s">
        <v>1659</v>
      </c>
      <c r="C1209" s="135" t="s">
        <v>3</v>
      </c>
      <c r="D1209" s="135"/>
      <c r="E1209" s="135" t="s">
        <v>1050</v>
      </c>
      <c r="F1209" s="135" t="s">
        <v>5</v>
      </c>
      <c r="G1209" s="135"/>
      <c r="H1209" s="131">
        <v>87.26</v>
      </c>
    </row>
    <row r="1210" spans="1:8" x14ac:dyDescent="0.2">
      <c r="B1210" s="135" t="s">
        <v>1711</v>
      </c>
      <c r="C1210" s="135" t="s">
        <v>3</v>
      </c>
      <c r="D1210" s="135"/>
      <c r="E1210" s="135" t="s">
        <v>1050</v>
      </c>
      <c r="F1210" s="135" t="s">
        <v>5</v>
      </c>
      <c r="G1210" s="135"/>
      <c r="H1210" s="131">
        <v>49.98</v>
      </c>
    </row>
    <row r="1211" spans="1:8" x14ac:dyDescent="0.2">
      <c r="B1211" s="135" t="s">
        <v>2240</v>
      </c>
      <c r="C1211" s="135" t="s">
        <v>3</v>
      </c>
      <c r="D1211" s="135"/>
      <c r="E1211" s="135" t="s">
        <v>1050</v>
      </c>
      <c r="F1211" s="135" t="s">
        <v>5</v>
      </c>
      <c r="G1211" s="135" t="s">
        <v>2415</v>
      </c>
      <c r="H1211" s="131">
        <v>74.2</v>
      </c>
    </row>
    <row r="1212" spans="1:8" x14ac:dyDescent="0.2">
      <c r="B1212" s="135" t="s">
        <v>2355</v>
      </c>
      <c r="C1212" s="135" t="s">
        <v>3</v>
      </c>
      <c r="D1212" s="135"/>
      <c r="E1212" s="135" t="s">
        <v>1050</v>
      </c>
      <c r="F1212" s="135" t="s">
        <v>5</v>
      </c>
      <c r="G1212" s="135" t="s">
        <v>2416</v>
      </c>
      <c r="H1212" s="131">
        <v>64.38</v>
      </c>
    </row>
    <row r="1213" spans="1:8" x14ac:dyDescent="0.2">
      <c r="B1213" s="135" t="s">
        <v>2380</v>
      </c>
      <c r="C1213" s="135" t="s">
        <v>3</v>
      </c>
      <c r="D1213" s="135"/>
      <c r="E1213" s="135" t="s">
        <v>2396</v>
      </c>
      <c r="F1213" s="135" t="s">
        <v>5</v>
      </c>
      <c r="G1213" s="135"/>
      <c r="H1213" s="131">
        <v>150.43</v>
      </c>
    </row>
    <row r="1214" spans="1:8" x14ac:dyDescent="0.2">
      <c r="B1214" s="135" t="s">
        <v>2582</v>
      </c>
      <c r="C1214" s="135" t="s">
        <v>547</v>
      </c>
      <c r="D1214" s="135">
        <v>112524</v>
      </c>
      <c r="E1214" s="135" t="s">
        <v>1401</v>
      </c>
      <c r="F1214" s="135" t="s">
        <v>5</v>
      </c>
      <c r="G1214" s="135">
        <v>201238</v>
      </c>
      <c r="H1214" s="131">
        <v>1.18</v>
      </c>
    </row>
    <row r="1215" spans="1:8" x14ac:dyDescent="0.2">
      <c r="B1215" s="135" t="s">
        <v>2582</v>
      </c>
      <c r="C1215" s="135" t="s">
        <v>547</v>
      </c>
      <c r="D1215" s="135">
        <v>112526</v>
      </c>
      <c r="E1215" s="135" t="s">
        <v>2396</v>
      </c>
      <c r="F1215" s="135" t="s">
        <v>5</v>
      </c>
      <c r="G1215" s="135" t="s">
        <v>2592</v>
      </c>
      <c r="H1215" s="131">
        <v>14.13</v>
      </c>
    </row>
    <row r="1216" spans="1:8" x14ac:dyDescent="0.2">
      <c r="B1216" s="135" t="s">
        <v>2741</v>
      </c>
      <c r="C1216" s="135" t="s">
        <v>547</v>
      </c>
      <c r="D1216" s="135" t="s">
        <v>2777</v>
      </c>
      <c r="E1216" s="135" t="s">
        <v>1401</v>
      </c>
      <c r="F1216" s="135" t="s">
        <v>5</v>
      </c>
      <c r="G1216" s="135">
        <v>218222</v>
      </c>
      <c r="H1216" s="131">
        <v>23.76</v>
      </c>
    </row>
    <row r="1217" spans="1:8" x14ac:dyDescent="0.2">
      <c r="A1217" s="129" t="s">
        <v>2152</v>
      </c>
      <c r="H1217" s="132">
        <v>465.32</v>
      </c>
    </row>
    <row r="1218" spans="1:8" x14ac:dyDescent="0.2">
      <c r="A1218" s="129" t="s">
        <v>2153</v>
      </c>
      <c r="H1218" s="132">
        <v>465.32</v>
      </c>
    </row>
    <row r="1219" spans="1:8" x14ac:dyDescent="0.2">
      <c r="A1219" s="129" t="s">
        <v>2154</v>
      </c>
    </row>
    <row r="1220" spans="1:8" x14ac:dyDescent="0.2">
      <c r="A1220" s="129" t="s">
        <v>2155</v>
      </c>
    </row>
    <row r="1221" spans="1:8" x14ac:dyDescent="0.2">
      <c r="B1221" s="135" t="s">
        <v>1906</v>
      </c>
      <c r="C1221" s="135" t="s">
        <v>3</v>
      </c>
      <c r="D1221" s="135"/>
      <c r="E1221" s="135" t="s">
        <v>1151</v>
      </c>
      <c r="F1221" s="135" t="s">
        <v>5</v>
      </c>
      <c r="G1221" s="135"/>
      <c r="H1221" s="131">
        <v>19.989999999999998</v>
      </c>
    </row>
    <row r="1222" spans="1:8" x14ac:dyDescent="0.2">
      <c r="B1222" s="135" t="s">
        <v>1908</v>
      </c>
      <c r="C1222" s="135" t="s">
        <v>3</v>
      </c>
      <c r="D1222" s="135"/>
      <c r="E1222" s="135" t="s">
        <v>1050</v>
      </c>
      <c r="F1222" s="135" t="s">
        <v>5</v>
      </c>
      <c r="G1222" s="135"/>
      <c r="H1222" s="131">
        <v>19.989999999999998</v>
      </c>
    </row>
    <row r="1223" spans="1:8" x14ac:dyDescent="0.2">
      <c r="B1223" s="135" t="s">
        <v>1806</v>
      </c>
      <c r="C1223" s="135" t="s">
        <v>3</v>
      </c>
      <c r="D1223" s="135"/>
      <c r="E1223" s="135" t="s">
        <v>2156</v>
      </c>
      <c r="F1223" s="135" t="s">
        <v>5</v>
      </c>
      <c r="G1223" s="135"/>
      <c r="H1223" s="131">
        <v>30.97</v>
      </c>
    </row>
    <row r="1224" spans="1:8" x14ac:dyDescent="0.2">
      <c r="B1224" s="135" t="s">
        <v>2119</v>
      </c>
      <c r="C1224" s="135" t="s">
        <v>3</v>
      </c>
      <c r="D1224" s="135"/>
      <c r="E1224" s="135" t="s">
        <v>2156</v>
      </c>
      <c r="F1224" s="135" t="s">
        <v>5</v>
      </c>
      <c r="G1224" s="135" t="s">
        <v>2118</v>
      </c>
      <c r="H1224" s="131">
        <v>19.97</v>
      </c>
    </row>
    <row r="1225" spans="1:8" x14ac:dyDescent="0.2">
      <c r="B1225" s="135" t="s">
        <v>2113</v>
      </c>
      <c r="C1225" s="135" t="s">
        <v>547</v>
      </c>
      <c r="D1225" s="135">
        <v>81324</v>
      </c>
      <c r="E1225" s="135" t="s">
        <v>2132</v>
      </c>
      <c r="F1225" s="135" t="s">
        <v>5</v>
      </c>
      <c r="G1225" s="135"/>
      <c r="H1225" s="131">
        <v>353.13</v>
      </c>
    </row>
    <row r="1226" spans="1:8" x14ac:dyDescent="0.2">
      <c r="A1226" s="129" t="s">
        <v>2157</v>
      </c>
      <c r="H1226" s="132">
        <v>444.05</v>
      </c>
    </row>
    <row r="1227" spans="1:8" x14ac:dyDescent="0.2">
      <c r="A1227" s="129" t="s">
        <v>2158</v>
      </c>
      <c r="H1227" s="132">
        <v>444.05</v>
      </c>
    </row>
    <row r="1228" spans="1:8" x14ac:dyDescent="0.2">
      <c r="A1228" s="129" t="s">
        <v>1669</v>
      </c>
    </row>
    <row r="1229" spans="1:8" x14ac:dyDescent="0.2">
      <c r="A1229" s="129" t="s">
        <v>1670</v>
      </c>
    </row>
    <row r="1230" spans="1:8" x14ac:dyDescent="0.2">
      <c r="B1230" s="135" t="s">
        <v>1660</v>
      </c>
      <c r="C1230" s="135" t="s">
        <v>547</v>
      </c>
      <c r="D1230" s="135">
        <v>60324</v>
      </c>
      <c r="E1230" s="135" t="s">
        <v>1044</v>
      </c>
      <c r="F1230" s="135" t="s">
        <v>5</v>
      </c>
      <c r="G1230" s="135" t="s">
        <v>1671</v>
      </c>
      <c r="H1230" s="131">
        <v>79.52</v>
      </c>
    </row>
    <row r="1231" spans="1:8" x14ac:dyDescent="0.2">
      <c r="B1231" s="135" t="s">
        <v>1891</v>
      </c>
      <c r="C1231" s="135" t="s">
        <v>3</v>
      </c>
      <c r="D1231" s="135"/>
      <c r="E1231" s="135" t="s">
        <v>1933</v>
      </c>
      <c r="F1231" s="135" t="s">
        <v>5</v>
      </c>
      <c r="G1231" s="135"/>
      <c r="H1231" s="131">
        <v>121.63</v>
      </c>
    </row>
    <row r="1232" spans="1:8" x14ac:dyDescent="0.2">
      <c r="B1232" s="135" t="s">
        <v>1911</v>
      </c>
      <c r="C1232" s="135" t="s">
        <v>3</v>
      </c>
      <c r="D1232" s="135"/>
      <c r="E1232" s="135" t="s">
        <v>1933</v>
      </c>
      <c r="F1232" s="135" t="s">
        <v>5</v>
      </c>
      <c r="G1232" s="135"/>
      <c r="H1232" s="131">
        <v>50.62</v>
      </c>
    </row>
    <row r="1233" spans="2:8" x14ac:dyDescent="0.2">
      <c r="B1233" s="135" t="s">
        <v>1793</v>
      </c>
      <c r="C1233" s="135" t="s">
        <v>547</v>
      </c>
      <c r="D1233" s="135">
        <v>70924</v>
      </c>
      <c r="E1233" s="135" t="s">
        <v>1044</v>
      </c>
      <c r="F1233" s="135" t="s">
        <v>5</v>
      </c>
      <c r="G1233" s="135" t="s">
        <v>1934</v>
      </c>
      <c r="H1233" s="131">
        <v>723.84</v>
      </c>
    </row>
    <row r="1234" spans="2:8" x14ac:dyDescent="0.2">
      <c r="B1234" s="135" t="s">
        <v>1793</v>
      </c>
      <c r="C1234" s="135" t="s">
        <v>547</v>
      </c>
      <c r="D1234" s="135">
        <v>70924</v>
      </c>
      <c r="E1234" s="135" t="s">
        <v>1044</v>
      </c>
      <c r="F1234" s="135" t="s">
        <v>5</v>
      </c>
      <c r="G1234" s="135" t="s">
        <v>1935</v>
      </c>
      <c r="H1234" s="131">
        <v>65.3</v>
      </c>
    </row>
    <row r="1235" spans="2:8" x14ac:dyDescent="0.2">
      <c r="B1235" s="135" t="s">
        <v>1793</v>
      </c>
      <c r="C1235" s="135" t="s">
        <v>547</v>
      </c>
      <c r="D1235" s="135">
        <v>70924</v>
      </c>
      <c r="E1235" s="135" t="s">
        <v>1044</v>
      </c>
      <c r="F1235" s="135" t="s">
        <v>5</v>
      </c>
      <c r="G1235" s="135" t="s">
        <v>1936</v>
      </c>
      <c r="H1235" s="131">
        <v>20.47</v>
      </c>
    </row>
    <row r="1236" spans="2:8" x14ac:dyDescent="0.2">
      <c r="B1236" s="135" t="s">
        <v>1793</v>
      </c>
      <c r="C1236" s="135" t="s">
        <v>547</v>
      </c>
      <c r="D1236" s="135">
        <v>70924</v>
      </c>
      <c r="E1236" s="135" t="s">
        <v>1044</v>
      </c>
      <c r="F1236" s="135" t="s">
        <v>5</v>
      </c>
      <c r="G1236" s="135" t="s">
        <v>1937</v>
      </c>
      <c r="H1236" s="131">
        <v>76.12</v>
      </c>
    </row>
    <row r="1237" spans="2:8" x14ac:dyDescent="0.2">
      <c r="B1237" s="135" t="s">
        <v>2159</v>
      </c>
      <c r="C1237" s="135" t="s">
        <v>3</v>
      </c>
      <c r="D1237" s="135"/>
      <c r="E1237" s="135" t="s">
        <v>1050</v>
      </c>
      <c r="F1237" s="135" t="s">
        <v>5</v>
      </c>
      <c r="G1237" s="135"/>
      <c r="H1237" s="131">
        <v>110.94</v>
      </c>
    </row>
    <row r="1238" spans="2:8" x14ac:dyDescent="0.2">
      <c r="B1238" s="135" t="s">
        <v>2159</v>
      </c>
      <c r="C1238" s="135" t="s">
        <v>3</v>
      </c>
      <c r="D1238" s="135"/>
      <c r="E1238" s="135" t="s">
        <v>1114</v>
      </c>
      <c r="F1238" s="135" t="s">
        <v>5</v>
      </c>
      <c r="G1238" s="135"/>
      <c r="H1238" s="131">
        <v>139.88</v>
      </c>
    </row>
    <row r="1239" spans="2:8" x14ac:dyDescent="0.2">
      <c r="B1239" s="135" t="s">
        <v>1806</v>
      </c>
      <c r="C1239" s="135" t="s">
        <v>3</v>
      </c>
      <c r="D1239" s="135"/>
      <c r="E1239" s="135" t="s">
        <v>2160</v>
      </c>
      <c r="F1239" s="135" t="s">
        <v>5</v>
      </c>
      <c r="G1239" s="135"/>
      <c r="H1239" s="131">
        <v>12.15</v>
      </c>
    </row>
    <row r="1240" spans="2:8" x14ac:dyDescent="0.2">
      <c r="B1240" s="135" t="s">
        <v>1806</v>
      </c>
      <c r="C1240" s="135" t="s">
        <v>3</v>
      </c>
      <c r="D1240" s="135"/>
      <c r="E1240" s="135" t="s">
        <v>1912</v>
      </c>
      <c r="F1240" s="135" t="s">
        <v>5</v>
      </c>
      <c r="G1240" s="135"/>
      <c r="H1240" s="131">
        <v>13</v>
      </c>
    </row>
    <row r="1241" spans="2:8" x14ac:dyDescent="0.2">
      <c r="B1241" s="135" t="s">
        <v>1808</v>
      </c>
      <c r="C1241" s="135" t="s">
        <v>3</v>
      </c>
      <c r="D1241" s="135"/>
      <c r="E1241" s="135" t="s">
        <v>2160</v>
      </c>
      <c r="F1241" s="135" t="s">
        <v>5</v>
      </c>
      <c r="G1241" s="135" t="s">
        <v>1151</v>
      </c>
      <c r="H1241" s="131">
        <v>44.61</v>
      </c>
    </row>
    <row r="1242" spans="2:8" x14ac:dyDescent="0.2">
      <c r="B1242" s="135" t="s">
        <v>1835</v>
      </c>
      <c r="C1242" s="135" t="s">
        <v>547</v>
      </c>
      <c r="D1242" s="135">
        <v>72924</v>
      </c>
      <c r="E1242" s="135" t="s">
        <v>1938</v>
      </c>
      <c r="F1242" s="135" t="s">
        <v>5</v>
      </c>
      <c r="G1242" s="135" t="s">
        <v>1944</v>
      </c>
      <c r="H1242" s="131">
        <v>4562.8999999999996</v>
      </c>
    </row>
    <row r="1243" spans="2:8" x14ac:dyDescent="0.2">
      <c r="B1243" s="135" t="s">
        <v>1835</v>
      </c>
      <c r="C1243" s="135" t="s">
        <v>547</v>
      </c>
      <c r="D1243" s="135">
        <v>72924</v>
      </c>
      <c r="E1243" s="135" t="s">
        <v>1938</v>
      </c>
      <c r="F1243" s="135" t="s">
        <v>5</v>
      </c>
      <c r="G1243" s="135" t="s">
        <v>1940</v>
      </c>
      <c r="H1243" s="131">
        <v>-100.23</v>
      </c>
    </row>
    <row r="1244" spans="2:8" x14ac:dyDescent="0.2">
      <c r="B1244" s="135" t="s">
        <v>1835</v>
      </c>
      <c r="C1244" s="135" t="s">
        <v>547</v>
      </c>
      <c r="D1244" s="135">
        <v>72924</v>
      </c>
      <c r="E1244" s="135" t="s">
        <v>1938</v>
      </c>
      <c r="F1244" s="135" t="s">
        <v>5</v>
      </c>
      <c r="G1244" s="135" t="s">
        <v>1939</v>
      </c>
      <c r="H1244" s="131">
        <v>-22.79</v>
      </c>
    </row>
    <row r="1245" spans="2:8" x14ac:dyDescent="0.2">
      <c r="B1245" s="135" t="s">
        <v>1835</v>
      </c>
      <c r="C1245" s="135" t="s">
        <v>547</v>
      </c>
      <c r="D1245" s="135">
        <v>72924</v>
      </c>
      <c r="E1245" s="135" t="s">
        <v>1938</v>
      </c>
      <c r="F1245" s="135" t="s">
        <v>5</v>
      </c>
      <c r="G1245" s="135" t="s">
        <v>1941</v>
      </c>
      <c r="H1245" s="131">
        <v>24.3</v>
      </c>
    </row>
    <row r="1246" spans="2:8" x14ac:dyDescent="0.2">
      <c r="B1246" s="135" t="s">
        <v>1835</v>
      </c>
      <c r="C1246" s="135" t="s">
        <v>547</v>
      </c>
      <c r="D1246" s="135">
        <v>72924</v>
      </c>
      <c r="E1246" s="135" t="s">
        <v>1938</v>
      </c>
      <c r="F1246" s="135" t="s">
        <v>5</v>
      </c>
      <c r="G1246" s="135" t="s">
        <v>1942</v>
      </c>
      <c r="H1246" s="131">
        <v>857.01</v>
      </c>
    </row>
    <row r="1247" spans="2:8" x14ac:dyDescent="0.2">
      <c r="B1247" s="135" t="s">
        <v>1835</v>
      </c>
      <c r="C1247" s="135" t="s">
        <v>547</v>
      </c>
      <c r="D1247" s="135">
        <v>72924</v>
      </c>
      <c r="E1247" s="135" t="s">
        <v>1938</v>
      </c>
      <c r="F1247" s="135" t="s">
        <v>5</v>
      </c>
      <c r="G1247" s="135" t="s">
        <v>1943</v>
      </c>
      <c r="H1247" s="131">
        <v>4351.67</v>
      </c>
    </row>
    <row r="1248" spans="2:8" x14ac:dyDescent="0.2">
      <c r="B1248" s="135" t="s">
        <v>2136</v>
      </c>
      <c r="C1248" s="135" t="s">
        <v>3</v>
      </c>
      <c r="D1248" s="135"/>
      <c r="E1248" s="135" t="s">
        <v>2160</v>
      </c>
      <c r="F1248" s="135" t="s">
        <v>5</v>
      </c>
      <c r="G1248" s="135" t="s">
        <v>1151</v>
      </c>
      <c r="H1248" s="131">
        <v>113.65</v>
      </c>
    </row>
    <row r="1249" spans="1:8" x14ac:dyDescent="0.2">
      <c r="B1249" s="135" t="s">
        <v>2136</v>
      </c>
      <c r="C1249" s="135" t="s">
        <v>3</v>
      </c>
      <c r="D1249" s="135"/>
      <c r="E1249" s="135" t="s">
        <v>1050</v>
      </c>
      <c r="F1249" s="135" t="s">
        <v>5</v>
      </c>
      <c r="G1249" s="135" t="s">
        <v>1151</v>
      </c>
      <c r="H1249" s="131">
        <v>104.45</v>
      </c>
    </row>
    <row r="1250" spans="1:8" x14ac:dyDescent="0.2">
      <c r="B1250" s="135" t="s">
        <v>2113</v>
      </c>
      <c r="C1250" s="135" t="s">
        <v>547</v>
      </c>
      <c r="D1250" s="135">
        <v>81324</v>
      </c>
      <c r="E1250" s="135" t="s">
        <v>2132</v>
      </c>
      <c r="F1250" s="135" t="s">
        <v>5</v>
      </c>
      <c r="G1250" s="135" t="s">
        <v>2161</v>
      </c>
      <c r="H1250" s="131">
        <v>394.58</v>
      </c>
    </row>
    <row r="1251" spans="1:8" x14ac:dyDescent="0.2">
      <c r="B1251" s="135" t="s">
        <v>2112</v>
      </c>
      <c r="C1251" s="135" t="s">
        <v>547</v>
      </c>
      <c r="D1251" s="135">
        <v>82824</v>
      </c>
      <c r="E1251" s="135" t="s">
        <v>1938</v>
      </c>
      <c r="F1251" s="135" t="s">
        <v>5</v>
      </c>
      <c r="G1251" s="135">
        <v>690365</v>
      </c>
      <c r="H1251" s="131">
        <v>1050.27</v>
      </c>
    </row>
    <row r="1252" spans="1:8" x14ac:dyDescent="0.2">
      <c r="B1252" s="135" t="s">
        <v>2112</v>
      </c>
      <c r="C1252" s="135" t="s">
        <v>547</v>
      </c>
      <c r="D1252" s="135">
        <v>82824</v>
      </c>
      <c r="E1252" s="135" t="s">
        <v>1938</v>
      </c>
      <c r="F1252" s="135" t="s">
        <v>5</v>
      </c>
      <c r="G1252" s="135">
        <v>690833</v>
      </c>
      <c r="H1252" s="131">
        <v>364.29</v>
      </c>
    </row>
    <row r="1253" spans="1:8" x14ac:dyDescent="0.2">
      <c r="B1253" s="135" t="s">
        <v>2260</v>
      </c>
      <c r="C1253" s="135" t="s">
        <v>3</v>
      </c>
      <c r="D1253" s="135"/>
      <c r="E1253" s="135"/>
      <c r="F1253" s="135" t="s">
        <v>5</v>
      </c>
      <c r="G1253" s="135" t="s">
        <v>2397</v>
      </c>
      <c r="H1253" s="131">
        <v>95.03</v>
      </c>
    </row>
    <row r="1254" spans="1:8" x14ac:dyDescent="0.2">
      <c r="B1254" s="135" t="s">
        <v>2254</v>
      </c>
      <c r="C1254" s="135" t="s">
        <v>3</v>
      </c>
      <c r="D1254" s="135"/>
      <c r="E1254" s="135" t="s">
        <v>1912</v>
      </c>
      <c r="F1254" s="135" t="s">
        <v>5</v>
      </c>
      <c r="G1254" s="135" t="s">
        <v>2398</v>
      </c>
      <c r="H1254" s="131">
        <v>40.11</v>
      </c>
    </row>
    <row r="1255" spans="1:8" x14ac:dyDescent="0.2">
      <c r="B1255" s="135" t="s">
        <v>2399</v>
      </c>
      <c r="C1255" s="135" t="s">
        <v>3</v>
      </c>
      <c r="D1255" s="135"/>
      <c r="E1255" s="135" t="s">
        <v>1912</v>
      </c>
      <c r="F1255" s="135" t="s">
        <v>5</v>
      </c>
      <c r="G1255" s="135" t="s">
        <v>2398</v>
      </c>
      <c r="H1255" s="131">
        <v>7.35</v>
      </c>
    </row>
    <row r="1256" spans="1:8" x14ac:dyDescent="0.2">
      <c r="B1256" s="135" t="s">
        <v>2377</v>
      </c>
      <c r="C1256" s="135" t="s">
        <v>547</v>
      </c>
      <c r="D1256" s="135">
        <v>102124</v>
      </c>
      <c r="E1256" s="135" t="s">
        <v>1667</v>
      </c>
      <c r="F1256" s="135" t="s">
        <v>5</v>
      </c>
      <c r="G1256" s="135" t="s">
        <v>2400</v>
      </c>
      <c r="H1256" s="131">
        <v>6.98</v>
      </c>
    </row>
    <row r="1257" spans="1:8" x14ac:dyDescent="0.2">
      <c r="A1257" s="129" t="s">
        <v>1672</v>
      </c>
      <c r="H1257" s="132">
        <v>13307.65</v>
      </c>
    </row>
    <row r="1258" spans="1:8" x14ac:dyDescent="0.2">
      <c r="A1258" s="129" t="s">
        <v>1673</v>
      </c>
    </row>
    <row r="1259" spans="1:8" x14ac:dyDescent="0.2">
      <c r="B1259" s="135" t="s">
        <v>1660</v>
      </c>
      <c r="C1259" s="135" t="s">
        <v>547</v>
      </c>
      <c r="D1259" s="135">
        <v>60324</v>
      </c>
      <c r="E1259" s="135" t="s">
        <v>1674</v>
      </c>
      <c r="F1259" s="135" t="s">
        <v>5</v>
      </c>
      <c r="G1259" s="135" t="s">
        <v>1675</v>
      </c>
      <c r="H1259" s="131">
        <v>462.75</v>
      </c>
    </row>
    <row r="1260" spans="1:8" x14ac:dyDescent="0.2">
      <c r="B1260" s="135" t="s">
        <v>2113</v>
      </c>
      <c r="C1260" s="135" t="s">
        <v>547</v>
      </c>
      <c r="D1260" s="135">
        <v>81324</v>
      </c>
      <c r="E1260" s="135" t="s">
        <v>1674</v>
      </c>
      <c r="F1260" s="135" t="s">
        <v>5</v>
      </c>
      <c r="G1260" s="135" t="s">
        <v>2162</v>
      </c>
      <c r="H1260" s="131">
        <v>184.77</v>
      </c>
    </row>
    <row r="1261" spans="1:8" x14ac:dyDescent="0.2">
      <c r="B1261" s="135" t="s">
        <v>2113</v>
      </c>
      <c r="C1261" s="135" t="s">
        <v>547</v>
      </c>
      <c r="D1261" s="135">
        <v>81324</v>
      </c>
      <c r="E1261" s="135" t="s">
        <v>1674</v>
      </c>
      <c r="F1261" s="135" t="s">
        <v>5</v>
      </c>
      <c r="G1261" s="135" t="s">
        <v>2163</v>
      </c>
      <c r="H1261" s="131">
        <v>201.78</v>
      </c>
    </row>
    <row r="1262" spans="1:8" x14ac:dyDescent="0.2">
      <c r="B1262" s="135" t="s">
        <v>2112</v>
      </c>
      <c r="C1262" s="135" t="s">
        <v>547</v>
      </c>
      <c r="D1262" s="135">
        <v>82824</v>
      </c>
      <c r="E1262" s="135" t="s">
        <v>1674</v>
      </c>
      <c r="F1262" s="135" t="s">
        <v>5</v>
      </c>
      <c r="G1262" s="135" t="s">
        <v>2164</v>
      </c>
      <c r="H1262" s="131">
        <v>288.48</v>
      </c>
    </row>
    <row r="1263" spans="1:8" x14ac:dyDescent="0.2">
      <c r="B1263" s="135" t="s">
        <v>2279</v>
      </c>
      <c r="C1263" s="135" t="s">
        <v>547</v>
      </c>
      <c r="D1263" s="135">
        <v>90424</v>
      </c>
      <c r="E1263" s="135" t="s">
        <v>1674</v>
      </c>
      <c r="F1263" s="135" t="s">
        <v>5</v>
      </c>
      <c r="G1263" s="135" t="s">
        <v>2280</v>
      </c>
      <c r="H1263" s="131">
        <v>175.23</v>
      </c>
    </row>
    <row r="1264" spans="1:8" x14ac:dyDescent="0.2">
      <c r="B1264" s="135" t="s">
        <v>2355</v>
      </c>
      <c r="C1264" s="135" t="s">
        <v>547</v>
      </c>
      <c r="D1264" s="135">
        <v>100124</v>
      </c>
      <c r="E1264" s="135" t="s">
        <v>1674</v>
      </c>
      <c r="F1264" s="135" t="s">
        <v>5</v>
      </c>
      <c r="G1264" s="135" t="s">
        <v>2401</v>
      </c>
      <c r="H1264" s="131">
        <v>98.42</v>
      </c>
    </row>
    <row r="1265" spans="1:8" x14ac:dyDescent="0.2">
      <c r="A1265" s="129" t="s">
        <v>1676</v>
      </c>
      <c r="H1265" s="132">
        <v>1411.43</v>
      </c>
    </row>
    <row r="1266" spans="1:8" x14ac:dyDescent="0.2">
      <c r="A1266" s="129" t="s">
        <v>2165</v>
      </c>
    </row>
    <row r="1267" spans="1:8" x14ac:dyDescent="0.2">
      <c r="B1267" s="135" t="s">
        <v>1711</v>
      </c>
      <c r="C1267" s="135" t="s">
        <v>3</v>
      </c>
      <c r="D1267" s="135"/>
      <c r="E1267" s="135"/>
      <c r="F1267" s="135" t="s">
        <v>5</v>
      </c>
      <c r="G1267" s="135"/>
      <c r="H1267" s="131">
        <v>772.5</v>
      </c>
    </row>
    <row r="1268" spans="1:8" x14ac:dyDescent="0.2">
      <c r="B1268" s="135" t="s">
        <v>2166</v>
      </c>
      <c r="C1268" s="135" t="s">
        <v>3</v>
      </c>
      <c r="D1268" s="135"/>
      <c r="E1268" s="135" t="s">
        <v>1050</v>
      </c>
      <c r="F1268" s="135" t="s">
        <v>5</v>
      </c>
      <c r="G1268" s="135"/>
      <c r="H1268" s="131">
        <v>58.53</v>
      </c>
    </row>
    <row r="1269" spans="1:8" x14ac:dyDescent="0.2">
      <c r="B1269" s="135" t="s">
        <v>2377</v>
      </c>
      <c r="C1269" s="135" t="s">
        <v>3</v>
      </c>
      <c r="D1269" s="135"/>
      <c r="E1269" s="135" t="s">
        <v>2286</v>
      </c>
      <c r="F1269" s="135" t="s">
        <v>5</v>
      </c>
      <c r="G1269" s="135"/>
      <c r="H1269" s="131">
        <v>554.23</v>
      </c>
    </row>
    <row r="1270" spans="1:8" x14ac:dyDescent="0.2">
      <c r="A1270" s="129" t="s">
        <v>2167</v>
      </c>
      <c r="H1270" s="132">
        <v>1385.26</v>
      </c>
    </row>
    <row r="1271" spans="1:8" x14ac:dyDescent="0.2">
      <c r="A1271" s="129" t="s">
        <v>1677</v>
      </c>
    </row>
    <row r="1272" spans="1:8" ht="73" x14ac:dyDescent="0.2">
      <c r="B1272" s="135" t="s">
        <v>1666</v>
      </c>
      <c r="C1272" s="135" t="s">
        <v>547</v>
      </c>
      <c r="D1272" s="135">
        <v>61124</v>
      </c>
      <c r="E1272" s="135" t="s">
        <v>1678</v>
      </c>
      <c r="F1272" s="135" t="s">
        <v>5</v>
      </c>
      <c r="G1272" s="135" t="s">
        <v>1679</v>
      </c>
      <c r="H1272" s="131">
        <v>7250</v>
      </c>
    </row>
    <row r="1273" spans="1:8" x14ac:dyDescent="0.2">
      <c r="A1273" s="129" t="s">
        <v>1680</v>
      </c>
      <c r="H1273" s="132">
        <v>7250</v>
      </c>
    </row>
    <row r="1274" spans="1:8" x14ac:dyDescent="0.2">
      <c r="A1274" s="129" t="s">
        <v>1681</v>
      </c>
      <c r="H1274" s="132">
        <v>23354.34</v>
      </c>
    </row>
    <row r="1275" spans="1:8" x14ac:dyDescent="0.2">
      <c r="A1275" s="129" t="s">
        <v>1206</v>
      </c>
    </row>
    <row r="1276" spans="1:8" x14ac:dyDescent="0.2">
      <c r="B1276" s="135" t="s">
        <v>1161</v>
      </c>
      <c r="C1276" s="135" t="s">
        <v>3</v>
      </c>
      <c r="D1276" s="135"/>
      <c r="E1276" s="135" t="s">
        <v>1207</v>
      </c>
      <c r="F1276" s="135" t="s">
        <v>5</v>
      </c>
      <c r="G1276" s="135"/>
      <c r="H1276" s="131">
        <v>64.8</v>
      </c>
    </row>
    <row r="1277" spans="1:8" x14ac:dyDescent="0.2">
      <c r="A1277" s="129" t="s">
        <v>1208</v>
      </c>
      <c r="H1277" s="132">
        <v>64.8</v>
      </c>
    </row>
    <row r="1278" spans="1:8" x14ac:dyDescent="0.2">
      <c r="A1278" s="129" t="s">
        <v>559</v>
      </c>
      <c r="H1278" s="132">
        <v>48834.1</v>
      </c>
    </row>
    <row r="1279" spans="1:8" x14ac:dyDescent="0.2">
      <c r="A1279" s="129" t="s">
        <v>362</v>
      </c>
    </row>
    <row r="1280" spans="1:8" x14ac:dyDescent="0.2">
      <c r="A1280" s="129" t="s">
        <v>1057</v>
      </c>
    </row>
    <row r="1281" spans="1:8" x14ac:dyDescent="0.2">
      <c r="A1281" s="129" t="s">
        <v>1058</v>
      </c>
    </row>
    <row r="1282" spans="1:8" x14ac:dyDescent="0.2">
      <c r="B1282" s="135" t="s">
        <v>1021</v>
      </c>
      <c r="C1282" s="135" t="s">
        <v>102</v>
      </c>
      <c r="D1282" s="135">
        <v>6007637</v>
      </c>
      <c r="E1282" s="135" t="s">
        <v>1022</v>
      </c>
      <c r="F1282" s="135" t="s">
        <v>5</v>
      </c>
      <c r="G1282" s="135" t="s">
        <v>1059</v>
      </c>
      <c r="H1282" s="131">
        <v>254.25</v>
      </c>
    </row>
    <row r="1283" spans="1:8" x14ac:dyDescent="0.2">
      <c r="B1283" s="135" t="s">
        <v>1289</v>
      </c>
      <c r="C1283" s="135" t="s">
        <v>3</v>
      </c>
      <c r="D1283" s="135"/>
      <c r="E1283" s="135" t="s">
        <v>1050</v>
      </c>
      <c r="F1283" s="135" t="s">
        <v>5</v>
      </c>
      <c r="G1283" s="135"/>
      <c r="H1283" s="131">
        <v>82.88</v>
      </c>
    </row>
    <row r="1284" spans="1:8" x14ac:dyDescent="0.2">
      <c r="B1284" s="135" t="s">
        <v>1659</v>
      </c>
      <c r="C1284" s="135" t="s">
        <v>102</v>
      </c>
      <c r="D1284" s="135">
        <v>6007637</v>
      </c>
      <c r="E1284" s="135" t="s">
        <v>1022</v>
      </c>
      <c r="F1284" s="135" t="s">
        <v>5</v>
      </c>
      <c r="G1284" s="135" t="s">
        <v>1059</v>
      </c>
      <c r="H1284" s="131">
        <v>246.75</v>
      </c>
    </row>
    <row r="1285" spans="1:8" x14ac:dyDescent="0.2">
      <c r="B1285" s="135" t="s">
        <v>2112</v>
      </c>
      <c r="C1285" s="135" t="s">
        <v>102</v>
      </c>
      <c r="D1285" s="135">
        <v>6007637</v>
      </c>
      <c r="E1285" s="135" t="s">
        <v>1022</v>
      </c>
      <c r="F1285" s="135" t="s">
        <v>5</v>
      </c>
      <c r="G1285" s="135" t="s">
        <v>1059</v>
      </c>
      <c r="H1285" s="131">
        <v>246.75</v>
      </c>
    </row>
    <row r="1286" spans="1:8" x14ac:dyDescent="0.2">
      <c r="B1286" s="135" t="s">
        <v>2240</v>
      </c>
      <c r="C1286" s="135" t="s">
        <v>547</v>
      </c>
      <c r="D1286" s="135">
        <v>91025</v>
      </c>
      <c r="E1286" s="135" t="s">
        <v>2281</v>
      </c>
      <c r="F1286" s="135" t="s">
        <v>5</v>
      </c>
      <c r="G1286" s="135" t="s">
        <v>2282</v>
      </c>
      <c r="H1286" s="131">
        <v>7.8</v>
      </c>
    </row>
    <row r="1287" spans="1:8" x14ac:dyDescent="0.2">
      <c r="A1287" s="129" t="s">
        <v>1060</v>
      </c>
      <c r="H1287" s="132">
        <v>838.43</v>
      </c>
    </row>
    <row r="1288" spans="1:8" x14ac:dyDescent="0.2">
      <c r="A1288" s="129" t="s">
        <v>1061</v>
      </c>
    </row>
    <row r="1289" spans="1:8" x14ac:dyDescent="0.2">
      <c r="B1289" s="135" t="s">
        <v>1021</v>
      </c>
      <c r="C1289" s="135" t="s">
        <v>102</v>
      </c>
      <c r="D1289" s="135">
        <v>6007637</v>
      </c>
      <c r="E1289" s="135" t="s">
        <v>1022</v>
      </c>
      <c r="F1289" s="135" t="s">
        <v>5</v>
      </c>
      <c r="G1289" s="135" t="s">
        <v>1062</v>
      </c>
      <c r="H1289" s="131">
        <v>444.94</v>
      </c>
    </row>
    <row r="1290" spans="1:8" x14ac:dyDescent="0.2">
      <c r="B1290" s="135" t="s">
        <v>1021</v>
      </c>
      <c r="C1290" s="135" t="s">
        <v>102</v>
      </c>
      <c r="D1290" s="135">
        <v>6007637</v>
      </c>
      <c r="E1290" s="135" t="s">
        <v>1022</v>
      </c>
      <c r="F1290" s="135" t="s">
        <v>5</v>
      </c>
      <c r="G1290" s="135" t="s">
        <v>1063</v>
      </c>
      <c r="H1290" s="131">
        <v>3449.25</v>
      </c>
    </row>
    <row r="1291" spans="1:8" x14ac:dyDescent="0.2">
      <c r="B1291" s="135" t="s">
        <v>1369</v>
      </c>
      <c r="C1291" s="135" t="s">
        <v>101</v>
      </c>
      <c r="D1291" s="135">
        <v>2000022030</v>
      </c>
      <c r="E1291" s="135"/>
      <c r="F1291" s="135" t="s">
        <v>5</v>
      </c>
      <c r="G1291" s="135" t="s">
        <v>1387</v>
      </c>
      <c r="H1291" s="131">
        <v>-2468.25</v>
      </c>
    </row>
    <row r="1292" spans="1:8" x14ac:dyDescent="0.2">
      <c r="B1292" s="135" t="s">
        <v>1659</v>
      </c>
      <c r="C1292" s="135" t="s">
        <v>102</v>
      </c>
      <c r="D1292" s="135">
        <v>6007637</v>
      </c>
      <c r="E1292" s="135" t="s">
        <v>1022</v>
      </c>
      <c r="F1292" s="135" t="s">
        <v>5</v>
      </c>
      <c r="G1292" s="135" t="s">
        <v>1062</v>
      </c>
      <c r="H1292" s="131">
        <v>444.94</v>
      </c>
    </row>
    <row r="1293" spans="1:8" x14ac:dyDescent="0.2">
      <c r="B1293" s="135" t="s">
        <v>1659</v>
      </c>
      <c r="C1293" s="135" t="s">
        <v>102</v>
      </c>
      <c r="D1293" s="135">
        <v>6007637</v>
      </c>
      <c r="E1293" s="135" t="s">
        <v>1022</v>
      </c>
      <c r="F1293" s="135" t="s">
        <v>5</v>
      </c>
      <c r="G1293" s="135" t="s">
        <v>1063</v>
      </c>
      <c r="H1293" s="131">
        <v>3449.25</v>
      </c>
    </row>
    <row r="1294" spans="1:8" x14ac:dyDescent="0.2">
      <c r="B1294" s="135" t="s">
        <v>1791</v>
      </c>
      <c r="C1294" s="135" t="s">
        <v>547</v>
      </c>
      <c r="D1294" s="135">
        <v>70824</v>
      </c>
      <c r="E1294" s="135" t="s">
        <v>1945</v>
      </c>
      <c r="F1294" s="135" t="s">
        <v>5</v>
      </c>
      <c r="G1294" s="135" t="s">
        <v>1946</v>
      </c>
      <c r="H1294" s="131">
        <v>2843.75</v>
      </c>
    </row>
    <row r="1295" spans="1:8" x14ac:dyDescent="0.2">
      <c r="B1295" s="135" t="s">
        <v>2112</v>
      </c>
      <c r="C1295" s="135" t="s">
        <v>102</v>
      </c>
      <c r="D1295" s="135">
        <v>6007637</v>
      </c>
      <c r="E1295" s="135" t="s">
        <v>1022</v>
      </c>
      <c r="F1295" s="135" t="s">
        <v>5</v>
      </c>
      <c r="G1295" s="135" t="s">
        <v>1063</v>
      </c>
      <c r="H1295" s="131">
        <v>3449.25</v>
      </c>
    </row>
    <row r="1296" spans="1:8" x14ac:dyDescent="0.2">
      <c r="B1296" s="135" t="s">
        <v>2112</v>
      </c>
      <c r="C1296" s="135" t="s">
        <v>102</v>
      </c>
      <c r="D1296" s="135">
        <v>6007637</v>
      </c>
      <c r="E1296" s="135" t="s">
        <v>1022</v>
      </c>
      <c r="F1296" s="135" t="s">
        <v>5</v>
      </c>
      <c r="G1296" s="135" t="s">
        <v>1062</v>
      </c>
      <c r="H1296" s="131">
        <v>444.94</v>
      </c>
    </row>
    <row r="1297" spans="1:8" x14ac:dyDescent="0.2">
      <c r="A1297" s="129" t="s">
        <v>1064</v>
      </c>
      <c r="H1297" s="132">
        <v>12058.07</v>
      </c>
    </row>
    <row r="1298" spans="1:8" x14ac:dyDescent="0.2">
      <c r="A1298" s="129" t="s">
        <v>1065</v>
      </c>
      <c r="H1298" s="132">
        <v>12896.5</v>
      </c>
    </row>
    <row r="1299" spans="1:8" x14ac:dyDescent="0.2">
      <c r="A1299" s="129" t="s">
        <v>535</v>
      </c>
    </row>
    <row r="1300" spans="1:8" x14ac:dyDescent="0.2">
      <c r="A1300" s="129" t="s">
        <v>743</v>
      </c>
    </row>
    <row r="1301" spans="1:8" x14ac:dyDescent="0.2">
      <c r="B1301" s="135" t="s">
        <v>821</v>
      </c>
      <c r="C1301" s="135" t="s">
        <v>3</v>
      </c>
      <c r="D1301" s="135"/>
      <c r="E1301" s="135" t="s">
        <v>642</v>
      </c>
      <c r="F1301" s="135" t="s">
        <v>5</v>
      </c>
      <c r="G1301" s="135"/>
      <c r="H1301" s="131">
        <v>25.76</v>
      </c>
    </row>
    <row r="1302" spans="1:8" x14ac:dyDescent="0.2">
      <c r="B1302" s="135" t="s">
        <v>821</v>
      </c>
      <c r="C1302" s="135" t="s">
        <v>3</v>
      </c>
      <c r="D1302" s="135"/>
      <c r="E1302" s="135" t="s">
        <v>642</v>
      </c>
      <c r="F1302" s="135" t="s">
        <v>5</v>
      </c>
      <c r="G1302" s="135"/>
      <c r="H1302" s="131">
        <v>0</v>
      </c>
    </row>
    <row r="1303" spans="1:8" x14ac:dyDescent="0.2">
      <c r="B1303" s="135" t="s">
        <v>1209</v>
      </c>
      <c r="C1303" s="135" t="s">
        <v>3</v>
      </c>
      <c r="D1303" s="135"/>
      <c r="E1303" s="135" t="s">
        <v>1210</v>
      </c>
      <c r="F1303" s="135" t="s">
        <v>5</v>
      </c>
      <c r="G1303" s="135"/>
      <c r="H1303" s="131">
        <v>120</v>
      </c>
    </row>
    <row r="1304" spans="1:8" x14ac:dyDescent="0.2">
      <c r="B1304" s="135" t="s">
        <v>1280</v>
      </c>
      <c r="C1304" s="135" t="s">
        <v>102</v>
      </c>
      <c r="D1304" s="135">
        <v>26964</v>
      </c>
      <c r="E1304" s="135" t="s">
        <v>1388</v>
      </c>
      <c r="F1304" s="135" t="s">
        <v>5</v>
      </c>
      <c r="G1304" s="135" t="s">
        <v>1389</v>
      </c>
      <c r="H1304" s="131">
        <v>250</v>
      </c>
    </row>
    <row r="1305" spans="1:8" x14ac:dyDescent="0.2">
      <c r="B1305" s="135" t="s">
        <v>1566</v>
      </c>
      <c r="C1305" s="135" t="s">
        <v>3</v>
      </c>
      <c r="D1305" s="135"/>
      <c r="E1305" s="135" t="s">
        <v>1567</v>
      </c>
      <c r="F1305" s="135" t="s">
        <v>5</v>
      </c>
      <c r="G1305" s="137">
        <v>151.47999999999999</v>
      </c>
      <c r="H1305" s="136"/>
    </row>
    <row r="1306" spans="1:8" x14ac:dyDescent="0.2">
      <c r="B1306" s="135" t="s">
        <v>1312</v>
      </c>
      <c r="C1306" s="135" t="s">
        <v>3</v>
      </c>
      <c r="D1306" s="135"/>
      <c r="E1306" s="135" t="s">
        <v>1567</v>
      </c>
      <c r="F1306" s="135" t="s">
        <v>5</v>
      </c>
      <c r="G1306" s="135"/>
      <c r="H1306" s="131">
        <v>151.47999999999999</v>
      </c>
    </row>
    <row r="1307" spans="1:8" x14ac:dyDescent="0.2">
      <c r="B1307" s="135" t="s">
        <v>1484</v>
      </c>
      <c r="C1307" s="135" t="s">
        <v>3</v>
      </c>
      <c r="D1307" s="135"/>
      <c r="E1307" s="135" t="s">
        <v>1567</v>
      </c>
      <c r="F1307" s="135" t="s">
        <v>5</v>
      </c>
      <c r="G1307" s="135"/>
      <c r="H1307" s="131">
        <v>124.68</v>
      </c>
    </row>
    <row r="1308" spans="1:8" x14ac:dyDescent="0.2">
      <c r="B1308" s="135" t="s">
        <v>1548</v>
      </c>
      <c r="C1308" s="135" t="s">
        <v>3</v>
      </c>
      <c r="D1308" s="135"/>
      <c r="E1308" s="135" t="s">
        <v>1388</v>
      </c>
      <c r="F1308" s="135" t="s">
        <v>5</v>
      </c>
      <c r="G1308" s="135"/>
      <c r="H1308" s="131">
        <v>500</v>
      </c>
    </row>
    <row r="1309" spans="1:8" x14ac:dyDescent="0.2">
      <c r="B1309" s="135" t="s">
        <v>1793</v>
      </c>
      <c r="C1309" s="135" t="s">
        <v>547</v>
      </c>
      <c r="D1309" s="135">
        <v>70924</v>
      </c>
      <c r="E1309" s="135" t="s">
        <v>1388</v>
      </c>
      <c r="F1309" s="135" t="s">
        <v>5</v>
      </c>
      <c r="G1309" s="135">
        <v>27583</v>
      </c>
      <c r="H1309" s="131">
        <v>250</v>
      </c>
    </row>
    <row r="1310" spans="1:8" x14ac:dyDescent="0.2">
      <c r="B1310" s="135" t="s">
        <v>1795</v>
      </c>
      <c r="C1310" s="135" t="s">
        <v>3</v>
      </c>
      <c r="D1310" s="135"/>
      <c r="E1310" s="135" t="s">
        <v>2168</v>
      </c>
      <c r="F1310" s="135" t="s">
        <v>5</v>
      </c>
      <c r="G1310" s="135"/>
      <c r="H1310" s="131">
        <v>10</v>
      </c>
    </row>
    <row r="1311" spans="1:8" x14ac:dyDescent="0.2">
      <c r="B1311" s="135" t="s">
        <v>2113</v>
      </c>
      <c r="C1311" s="135" t="s">
        <v>547</v>
      </c>
      <c r="D1311" s="135">
        <v>81324</v>
      </c>
      <c r="E1311" s="135" t="s">
        <v>1388</v>
      </c>
      <c r="F1311" s="135" t="s">
        <v>5</v>
      </c>
      <c r="G1311" s="135">
        <v>27773</v>
      </c>
      <c r="H1311" s="131">
        <v>250</v>
      </c>
    </row>
    <row r="1312" spans="1:8" x14ac:dyDescent="0.2">
      <c r="B1312" s="135" t="s">
        <v>2265</v>
      </c>
      <c r="C1312" s="135" t="s">
        <v>3</v>
      </c>
      <c r="D1312" s="135"/>
      <c r="E1312" s="135" t="s">
        <v>1388</v>
      </c>
      <c r="F1312" s="135" t="s">
        <v>5</v>
      </c>
      <c r="G1312" s="135"/>
      <c r="H1312" s="131">
        <v>250</v>
      </c>
    </row>
    <row r="1313" spans="1:8" x14ac:dyDescent="0.2">
      <c r="B1313" s="135" t="s">
        <v>2402</v>
      </c>
      <c r="C1313" s="135" t="s">
        <v>3</v>
      </c>
      <c r="D1313" s="135"/>
      <c r="E1313" s="135" t="s">
        <v>2403</v>
      </c>
      <c r="F1313" s="135" t="s">
        <v>5</v>
      </c>
      <c r="G1313" s="135" t="s">
        <v>2404</v>
      </c>
      <c r="H1313" s="131">
        <v>130.57</v>
      </c>
    </row>
    <row r="1314" spans="1:8" x14ac:dyDescent="0.2">
      <c r="B1314" s="135" t="s">
        <v>2355</v>
      </c>
      <c r="C1314" s="135" t="s">
        <v>3</v>
      </c>
      <c r="D1314" s="135"/>
      <c r="E1314" s="135" t="s">
        <v>2405</v>
      </c>
      <c r="F1314" s="135" t="s">
        <v>5</v>
      </c>
      <c r="G1314" s="135" t="s">
        <v>2406</v>
      </c>
      <c r="H1314" s="131">
        <v>250</v>
      </c>
    </row>
    <row r="1315" spans="1:8" x14ac:dyDescent="0.2">
      <c r="B1315" s="135" t="s">
        <v>2407</v>
      </c>
      <c r="C1315" s="135" t="s">
        <v>3</v>
      </c>
      <c r="D1315" s="135"/>
      <c r="E1315" s="135" t="s">
        <v>1567</v>
      </c>
      <c r="F1315" s="135" t="s">
        <v>5</v>
      </c>
      <c r="G1315" s="135"/>
      <c r="H1315" s="131">
        <v>122.67</v>
      </c>
    </row>
    <row r="1316" spans="1:8" x14ac:dyDescent="0.2">
      <c r="B1316" s="135" t="s">
        <v>2736</v>
      </c>
      <c r="C1316" s="135" t="s">
        <v>3</v>
      </c>
      <c r="D1316" s="135"/>
      <c r="E1316" s="135" t="s">
        <v>1567</v>
      </c>
      <c r="F1316" s="135" t="s">
        <v>5</v>
      </c>
      <c r="G1316" s="135"/>
      <c r="H1316" s="131">
        <v>35.54</v>
      </c>
    </row>
    <row r="1317" spans="1:8" x14ac:dyDescent="0.2">
      <c r="B1317" s="135" t="s">
        <v>2771</v>
      </c>
      <c r="C1317" s="135" t="s">
        <v>3</v>
      </c>
      <c r="D1317" s="135"/>
      <c r="E1317" s="135" t="s">
        <v>1567</v>
      </c>
      <c r="F1317" s="135" t="s">
        <v>5</v>
      </c>
      <c r="G1317" s="135"/>
      <c r="H1317" s="131">
        <v>35.5</v>
      </c>
    </row>
    <row r="1318" spans="1:8" x14ac:dyDescent="0.2">
      <c r="A1318" s="129" t="s">
        <v>744</v>
      </c>
      <c r="H1318" s="132">
        <v>2506.1999999999998</v>
      </c>
    </row>
    <row r="1319" spans="1:8" x14ac:dyDescent="0.2">
      <c r="A1319" s="129" t="s">
        <v>1211</v>
      </c>
    </row>
    <row r="1320" spans="1:8" x14ac:dyDescent="0.2">
      <c r="B1320" s="135" t="s">
        <v>1161</v>
      </c>
      <c r="C1320" s="135" t="s">
        <v>547</v>
      </c>
      <c r="D1320" s="135">
        <v>31324</v>
      </c>
      <c r="E1320" s="135" t="s">
        <v>1212</v>
      </c>
      <c r="F1320" s="135" t="s">
        <v>5</v>
      </c>
      <c r="G1320" s="135" t="s">
        <v>1213</v>
      </c>
      <c r="H1320" s="131">
        <v>183.22</v>
      </c>
    </row>
    <row r="1321" spans="1:8" x14ac:dyDescent="0.2">
      <c r="B1321" s="135" t="s">
        <v>1214</v>
      </c>
      <c r="C1321" s="135" t="s">
        <v>547</v>
      </c>
      <c r="D1321" s="135">
        <v>31324</v>
      </c>
      <c r="E1321" s="135" t="s">
        <v>1212</v>
      </c>
      <c r="F1321" s="135" t="s">
        <v>5</v>
      </c>
      <c r="G1321" s="135" t="s">
        <v>1215</v>
      </c>
      <c r="H1321" s="131">
        <v>170.44</v>
      </c>
    </row>
    <row r="1322" spans="1:8" x14ac:dyDescent="0.2">
      <c r="B1322" s="135" t="s">
        <v>1214</v>
      </c>
      <c r="C1322" s="135" t="s">
        <v>3</v>
      </c>
      <c r="D1322" s="135"/>
      <c r="E1322" s="135" t="s">
        <v>1212</v>
      </c>
      <c r="F1322" s="135" t="s">
        <v>5</v>
      </c>
      <c r="G1322" s="135"/>
      <c r="H1322" s="131">
        <v>183.22</v>
      </c>
    </row>
    <row r="1323" spans="1:8" x14ac:dyDescent="0.2">
      <c r="B1323" s="135" t="s">
        <v>1186</v>
      </c>
      <c r="C1323" s="135" t="s">
        <v>3</v>
      </c>
      <c r="D1323" s="135"/>
      <c r="E1323" s="135" t="s">
        <v>1212</v>
      </c>
      <c r="F1323" s="135" t="s">
        <v>5</v>
      </c>
      <c r="G1323" s="135"/>
      <c r="H1323" s="131">
        <v>170.44</v>
      </c>
    </row>
    <row r="1324" spans="1:8" x14ac:dyDescent="0.2">
      <c r="B1324" s="135" t="s">
        <v>1305</v>
      </c>
      <c r="C1324" s="135" t="s">
        <v>3</v>
      </c>
      <c r="D1324" s="135"/>
      <c r="E1324" s="135" t="s">
        <v>1212</v>
      </c>
      <c r="F1324" s="135" t="s">
        <v>5</v>
      </c>
      <c r="G1324" s="135"/>
      <c r="H1324" s="131">
        <v>293.47000000000003</v>
      </c>
    </row>
    <row r="1325" spans="1:8" x14ac:dyDescent="0.2">
      <c r="B1325" s="135" t="s">
        <v>2357</v>
      </c>
      <c r="C1325" s="135" t="s">
        <v>3</v>
      </c>
      <c r="D1325" s="135"/>
      <c r="E1325" s="135" t="s">
        <v>1212</v>
      </c>
      <c r="F1325" s="135" t="s">
        <v>5</v>
      </c>
      <c r="G1325" s="135"/>
      <c r="H1325" s="131">
        <v>423.31</v>
      </c>
    </row>
    <row r="1326" spans="1:8" x14ac:dyDescent="0.2">
      <c r="B1326" s="135" t="s">
        <v>2357</v>
      </c>
      <c r="C1326" s="135" t="s">
        <v>3</v>
      </c>
      <c r="D1326" s="135"/>
      <c r="E1326" s="135" t="s">
        <v>1212</v>
      </c>
      <c r="F1326" s="135" t="s">
        <v>5</v>
      </c>
      <c r="G1326" s="135"/>
      <c r="H1326" s="131">
        <v>1490.11</v>
      </c>
    </row>
    <row r="1327" spans="1:8" x14ac:dyDescent="0.2">
      <c r="B1327" s="135" t="s">
        <v>2357</v>
      </c>
      <c r="C1327" s="135" t="s">
        <v>3</v>
      </c>
      <c r="D1327" s="135"/>
      <c r="E1327" s="135" t="s">
        <v>1212</v>
      </c>
      <c r="F1327" s="135" t="s">
        <v>5</v>
      </c>
      <c r="G1327" s="135"/>
      <c r="H1327" s="131">
        <v>397.19</v>
      </c>
    </row>
    <row r="1328" spans="1:8" x14ac:dyDescent="0.2">
      <c r="B1328" s="135" t="s">
        <v>2349</v>
      </c>
      <c r="C1328" s="135" t="s">
        <v>3</v>
      </c>
      <c r="D1328" s="135"/>
      <c r="E1328" s="135" t="s">
        <v>1212</v>
      </c>
      <c r="F1328" s="135" t="s">
        <v>5</v>
      </c>
      <c r="G1328" s="135"/>
      <c r="H1328" s="131">
        <v>748</v>
      </c>
    </row>
    <row r="1329" spans="1:8" x14ac:dyDescent="0.2">
      <c r="B1329" s="135" t="s">
        <v>2741</v>
      </c>
      <c r="C1329" s="135" t="s">
        <v>3</v>
      </c>
      <c r="D1329" s="135"/>
      <c r="E1329" s="135" t="s">
        <v>1212</v>
      </c>
      <c r="F1329" s="135" t="s">
        <v>5</v>
      </c>
      <c r="G1329" s="135"/>
      <c r="H1329" s="131">
        <v>605.20000000000005</v>
      </c>
    </row>
    <row r="1330" spans="1:8" x14ac:dyDescent="0.2">
      <c r="B1330" s="135" t="s">
        <v>2741</v>
      </c>
      <c r="C1330" s="135" t="s">
        <v>3</v>
      </c>
      <c r="D1330" s="135"/>
      <c r="E1330" s="135" t="s">
        <v>1212</v>
      </c>
      <c r="F1330" s="135" t="s">
        <v>5</v>
      </c>
      <c r="G1330" s="135"/>
      <c r="H1330" s="131">
        <v>712.74</v>
      </c>
    </row>
    <row r="1331" spans="1:8" x14ac:dyDescent="0.2">
      <c r="A1331" s="129" t="s">
        <v>1216</v>
      </c>
      <c r="H1331" s="132">
        <v>5377.34</v>
      </c>
    </row>
    <row r="1332" spans="1:8" x14ac:dyDescent="0.2">
      <c r="A1332" s="129" t="s">
        <v>1682</v>
      </c>
    </row>
    <row r="1333" spans="1:8" x14ac:dyDescent="0.2">
      <c r="B1333" s="135" t="s">
        <v>1660</v>
      </c>
      <c r="C1333" s="135" t="s">
        <v>547</v>
      </c>
      <c r="D1333" s="135">
        <v>60324</v>
      </c>
      <c r="E1333" s="135" t="s">
        <v>1683</v>
      </c>
      <c r="F1333" s="135" t="s">
        <v>5</v>
      </c>
      <c r="G1333" s="135" t="s">
        <v>1684</v>
      </c>
      <c r="H1333" s="131">
        <v>1005.56</v>
      </c>
    </row>
    <row r="1334" spans="1:8" x14ac:dyDescent="0.2">
      <c r="B1334" s="135" t="s">
        <v>1793</v>
      </c>
      <c r="C1334" s="135" t="s">
        <v>547</v>
      </c>
      <c r="D1334" s="135">
        <v>70924</v>
      </c>
      <c r="E1334" s="135" t="s">
        <v>1683</v>
      </c>
      <c r="F1334" s="135" t="s">
        <v>5</v>
      </c>
      <c r="G1334" s="135" t="s">
        <v>1947</v>
      </c>
      <c r="H1334" s="131">
        <v>1015.62</v>
      </c>
    </row>
    <row r="1335" spans="1:8" x14ac:dyDescent="0.2">
      <c r="B1335" s="135" t="s">
        <v>2113</v>
      </c>
      <c r="C1335" s="135" t="s">
        <v>547</v>
      </c>
      <c r="D1335" s="135">
        <v>81324</v>
      </c>
      <c r="E1335" s="135" t="s">
        <v>1683</v>
      </c>
      <c r="F1335" s="135" t="s">
        <v>5</v>
      </c>
      <c r="G1335" s="135" t="s">
        <v>14</v>
      </c>
      <c r="H1335" s="131">
        <v>305.37</v>
      </c>
    </row>
    <row r="1336" spans="1:8" x14ac:dyDescent="0.2">
      <c r="B1336" s="135" t="s">
        <v>2169</v>
      </c>
      <c r="C1336" s="135" t="s">
        <v>339</v>
      </c>
      <c r="D1336" s="135" t="s">
        <v>2170</v>
      </c>
      <c r="E1336" s="135"/>
      <c r="F1336" s="135" t="s">
        <v>5</v>
      </c>
      <c r="G1336" s="135" t="s">
        <v>2171</v>
      </c>
      <c r="H1336" s="131">
        <v>-305.37</v>
      </c>
    </row>
    <row r="1337" spans="1:8" x14ac:dyDescent="0.2">
      <c r="B1337" s="135" t="s">
        <v>2243</v>
      </c>
      <c r="C1337" s="135" t="s">
        <v>3</v>
      </c>
      <c r="D1337" s="135">
        <v>80921</v>
      </c>
      <c r="E1337" s="135" t="s">
        <v>1683</v>
      </c>
      <c r="F1337" s="135" t="s">
        <v>5</v>
      </c>
      <c r="G1337" s="135" t="s">
        <v>2283</v>
      </c>
      <c r="H1337" s="131">
        <v>305.37</v>
      </c>
    </row>
    <row r="1338" spans="1:8" x14ac:dyDescent="0.2">
      <c r="B1338" s="135" t="s">
        <v>2355</v>
      </c>
      <c r="C1338" s="135" t="s">
        <v>547</v>
      </c>
      <c r="D1338" s="135">
        <v>100124</v>
      </c>
      <c r="E1338" s="135" t="s">
        <v>1683</v>
      </c>
      <c r="F1338" s="135" t="s">
        <v>5</v>
      </c>
      <c r="G1338" s="135" t="s">
        <v>14</v>
      </c>
      <c r="H1338" s="131">
        <v>344.8</v>
      </c>
    </row>
    <row r="1339" spans="1:8" x14ac:dyDescent="0.2">
      <c r="B1339" s="135" t="s">
        <v>2582</v>
      </c>
      <c r="C1339" s="135" t="s">
        <v>547</v>
      </c>
      <c r="D1339" s="135">
        <v>112524</v>
      </c>
      <c r="E1339" s="135" t="s">
        <v>1683</v>
      </c>
      <c r="F1339" s="135" t="s">
        <v>5</v>
      </c>
      <c r="G1339" s="135" t="s">
        <v>2593</v>
      </c>
      <c r="H1339" s="131">
        <v>2.41</v>
      </c>
    </row>
    <row r="1340" spans="1:8" x14ac:dyDescent="0.2">
      <c r="A1340" s="129" t="s">
        <v>1685</v>
      </c>
      <c r="H1340" s="132">
        <v>2673.76</v>
      </c>
    </row>
    <row r="1341" spans="1:8" x14ac:dyDescent="0.2">
      <c r="A1341" s="129" t="s">
        <v>560</v>
      </c>
      <c r="H1341" s="132">
        <v>10557.3</v>
      </c>
    </row>
    <row r="1342" spans="1:8" x14ac:dyDescent="0.2">
      <c r="A1342" s="129" t="s">
        <v>1948</v>
      </c>
    </row>
    <row r="1343" spans="1:8" x14ac:dyDescent="0.2">
      <c r="B1343" s="135" t="s">
        <v>1553</v>
      </c>
      <c r="C1343" s="135" t="s">
        <v>339</v>
      </c>
      <c r="D1343" s="135" t="s">
        <v>1554</v>
      </c>
      <c r="E1343" s="135"/>
      <c r="F1343" s="135" t="s">
        <v>5</v>
      </c>
      <c r="G1343" s="135" t="s">
        <v>1555</v>
      </c>
      <c r="H1343" s="131">
        <v>160.69999999999999</v>
      </c>
    </row>
    <row r="1344" spans="1:8" x14ac:dyDescent="0.2">
      <c r="B1344" s="135" t="s">
        <v>1452</v>
      </c>
      <c r="C1344" s="135" t="s">
        <v>3</v>
      </c>
      <c r="D1344" s="135"/>
      <c r="E1344" s="135" t="s">
        <v>1050</v>
      </c>
      <c r="F1344" s="135" t="s">
        <v>5</v>
      </c>
      <c r="G1344" s="135"/>
      <c r="H1344" s="131">
        <v>26.07</v>
      </c>
    </row>
    <row r="1345" spans="2:8" x14ac:dyDescent="0.2">
      <c r="B1345" s="135" t="s">
        <v>1455</v>
      </c>
      <c r="C1345" s="135" t="s">
        <v>3</v>
      </c>
      <c r="D1345" s="135"/>
      <c r="E1345" s="135" t="s">
        <v>1050</v>
      </c>
      <c r="F1345" s="135" t="s">
        <v>5</v>
      </c>
      <c r="G1345" s="135" t="s">
        <v>1151</v>
      </c>
      <c r="H1345" s="131">
        <v>28.99</v>
      </c>
    </row>
    <row r="1346" spans="2:8" x14ac:dyDescent="0.2">
      <c r="B1346" s="135" t="s">
        <v>1455</v>
      </c>
      <c r="C1346" s="135" t="s">
        <v>3</v>
      </c>
      <c r="D1346" s="135"/>
      <c r="E1346" s="135" t="s">
        <v>1050</v>
      </c>
      <c r="F1346" s="135" t="s">
        <v>5</v>
      </c>
      <c r="G1346" s="135" t="s">
        <v>1151</v>
      </c>
      <c r="H1346" s="131">
        <v>209.49</v>
      </c>
    </row>
    <row r="1347" spans="2:8" x14ac:dyDescent="0.2">
      <c r="B1347" s="135" t="s">
        <v>1953</v>
      </c>
      <c r="C1347" s="135" t="s">
        <v>3</v>
      </c>
      <c r="D1347" s="135"/>
      <c r="E1347" s="135" t="s">
        <v>1050</v>
      </c>
      <c r="F1347" s="135" t="s">
        <v>5</v>
      </c>
      <c r="G1347" s="135" t="s">
        <v>1151</v>
      </c>
      <c r="H1347" s="131">
        <v>120.67</v>
      </c>
    </row>
    <row r="1348" spans="2:8" x14ac:dyDescent="0.2">
      <c r="B1348" s="135" t="s">
        <v>1953</v>
      </c>
      <c r="C1348" s="135" t="s">
        <v>3</v>
      </c>
      <c r="D1348" s="135"/>
      <c r="E1348" s="135" t="s">
        <v>1050</v>
      </c>
      <c r="F1348" s="135" t="s">
        <v>5</v>
      </c>
      <c r="G1348" s="135" t="s">
        <v>1151</v>
      </c>
      <c r="H1348" s="131">
        <v>37.5</v>
      </c>
    </row>
    <row r="1349" spans="2:8" x14ac:dyDescent="0.2">
      <c r="B1349" s="135" t="s">
        <v>1953</v>
      </c>
      <c r="C1349" s="135" t="s">
        <v>3</v>
      </c>
      <c r="D1349" s="135"/>
      <c r="E1349" s="135" t="s">
        <v>1050</v>
      </c>
      <c r="F1349" s="135" t="s">
        <v>5</v>
      </c>
      <c r="G1349" s="135" t="s">
        <v>1151</v>
      </c>
      <c r="H1349" s="131">
        <v>40.96</v>
      </c>
    </row>
    <row r="1350" spans="2:8" x14ac:dyDescent="0.2">
      <c r="B1350" s="135" t="s">
        <v>1953</v>
      </c>
      <c r="C1350" s="135" t="s">
        <v>3</v>
      </c>
      <c r="D1350" s="135"/>
      <c r="E1350" s="135" t="s">
        <v>1950</v>
      </c>
      <c r="F1350" s="135" t="s">
        <v>5</v>
      </c>
      <c r="G1350" s="135"/>
      <c r="H1350" s="131">
        <v>41.79</v>
      </c>
    </row>
    <row r="1351" spans="2:8" x14ac:dyDescent="0.2">
      <c r="B1351" s="135" t="s">
        <v>1953</v>
      </c>
      <c r="C1351" s="135" t="s">
        <v>3</v>
      </c>
      <c r="D1351" s="135"/>
      <c r="E1351" s="135" t="s">
        <v>1050</v>
      </c>
      <c r="F1351" s="135" t="s">
        <v>5</v>
      </c>
      <c r="G1351" s="135" t="s">
        <v>1151</v>
      </c>
      <c r="H1351" s="131">
        <v>42.56</v>
      </c>
    </row>
    <row r="1352" spans="2:8" x14ac:dyDescent="0.2">
      <c r="B1352" s="135" t="s">
        <v>1953</v>
      </c>
      <c r="C1352" s="135" t="s">
        <v>3</v>
      </c>
      <c r="D1352" s="135"/>
      <c r="E1352" s="135" t="s">
        <v>1050</v>
      </c>
      <c r="F1352" s="135" t="s">
        <v>5</v>
      </c>
      <c r="G1352" s="135" t="s">
        <v>1151</v>
      </c>
      <c r="H1352" s="131">
        <v>68.91</v>
      </c>
    </row>
    <row r="1353" spans="2:8" x14ac:dyDescent="0.2">
      <c r="B1353" s="135" t="s">
        <v>1953</v>
      </c>
      <c r="C1353" s="135" t="s">
        <v>3</v>
      </c>
      <c r="D1353" s="135"/>
      <c r="E1353" s="135" t="s">
        <v>1050</v>
      </c>
      <c r="F1353" s="135" t="s">
        <v>5</v>
      </c>
      <c r="G1353" s="135" t="s">
        <v>1151</v>
      </c>
      <c r="H1353" s="131">
        <v>954</v>
      </c>
    </row>
    <row r="1354" spans="2:8" x14ac:dyDescent="0.2">
      <c r="B1354" s="135" t="s">
        <v>1953</v>
      </c>
      <c r="C1354" s="135" t="s">
        <v>3</v>
      </c>
      <c r="D1354" s="135"/>
      <c r="E1354" s="135" t="s">
        <v>1050</v>
      </c>
      <c r="F1354" s="135" t="s">
        <v>5</v>
      </c>
      <c r="G1354" s="135" t="s">
        <v>1151</v>
      </c>
      <c r="H1354" s="131">
        <v>33.72</v>
      </c>
    </row>
    <row r="1355" spans="2:8" x14ac:dyDescent="0.2">
      <c r="B1355" s="135" t="s">
        <v>1953</v>
      </c>
      <c r="C1355" s="135" t="s">
        <v>3</v>
      </c>
      <c r="D1355" s="135"/>
      <c r="E1355" s="135" t="s">
        <v>1050</v>
      </c>
      <c r="F1355" s="135" t="s">
        <v>5</v>
      </c>
      <c r="G1355" s="135" t="s">
        <v>1151</v>
      </c>
      <c r="H1355" s="131">
        <v>318</v>
      </c>
    </row>
    <row r="1356" spans="2:8" x14ac:dyDescent="0.2">
      <c r="B1356" s="135" t="s">
        <v>1929</v>
      </c>
      <c r="C1356" s="135" t="s">
        <v>3</v>
      </c>
      <c r="D1356" s="135"/>
      <c r="E1356" s="135" t="s">
        <v>1050</v>
      </c>
      <c r="F1356" s="135" t="s">
        <v>5</v>
      </c>
      <c r="G1356" s="135">
        <v>0</v>
      </c>
      <c r="H1356" s="131">
        <v>439.98</v>
      </c>
    </row>
    <row r="1357" spans="2:8" x14ac:dyDescent="0.2">
      <c r="B1357" s="135" t="s">
        <v>2284</v>
      </c>
      <c r="C1357" s="135" t="s">
        <v>3</v>
      </c>
      <c r="D1357" s="135"/>
      <c r="E1357" s="135" t="s">
        <v>1050</v>
      </c>
      <c r="F1357" s="135" t="s">
        <v>5</v>
      </c>
      <c r="G1357" s="135">
        <v>0</v>
      </c>
      <c r="H1357" s="131">
        <v>79.16</v>
      </c>
    </row>
    <row r="1358" spans="2:8" x14ac:dyDescent="0.2">
      <c r="B1358" s="135" t="s">
        <v>2113</v>
      </c>
      <c r="C1358" s="135" t="s">
        <v>3</v>
      </c>
      <c r="D1358" s="135"/>
      <c r="E1358" s="135" t="s">
        <v>1050</v>
      </c>
      <c r="F1358" s="135" t="s">
        <v>5</v>
      </c>
      <c r="G1358" s="135">
        <v>0</v>
      </c>
      <c r="H1358" s="131">
        <v>37.11</v>
      </c>
    </row>
    <row r="1359" spans="2:8" x14ac:dyDescent="0.2">
      <c r="B1359" s="135" t="s">
        <v>2569</v>
      </c>
      <c r="C1359" s="135" t="s">
        <v>3</v>
      </c>
      <c r="D1359" s="135"/>
      <c r="E1359" s="135" t="s">
        <v>1050</v>
      </c>
      <c r="F1359" s="135" t="s">
        <v>5</v>
      </c>
      <c r="G1359" s="135"/>
      <c r="H1359" s="131">
        <v>69.989999999999995</v>
      </c>
    </row>
    <row r="1360" spans="2:8" x14ac:dyDescent="0.2">
      <c r="B1360" s="135" t="s">
        <v>2736</v>
      </c>
      <c r="C1360" s="135" t="s">
        <v>3</v>
      </c>
      <c r="D1360" s="135"/>
      <c r="E1360" s="135" t="s">
        <v>2778</v>
      </c>
      <c r="F1360" s="135" t="s">
        <v>5</v>
      </c>
      <c r="G1360" s="135"/>
      <c r="H1360" s="131">
        <v>565</v>
      </c>
    </row>
    <row r="1361" spans="1:8" x14ac:dyDescent="0.2">
      <c r="A1361" s="129" t="s">
        <v>1957</v>
      </c>
      <c r="H1361" s="132">
        <v>3274.6</v>
      </c>
    </row>
    <row r="1362" spans="1:8" x14ac:dyDescent="0.2">
      <c r="A1362" s="129" t="s">
        <v>1686</v>
      </c>
    </row>
    <row r="1363" spans="1:8" x14ac:dyDescent="0.2">
      <c r="A1363" s="129" t="s">
        <v>1687</v>
      </c>
    </row>
    <row r="1364" spans="1:8" x14ac:dyDescent="0.2">
      <c r="B1364" s="135" t="s">
        <v>1362</v>
      </c>
      <c r="C1364" s="135" t="s">
        <v>3</v>
      </c>
      <c r="D1364" s="135"/>
      <c r="E1364" s="135" t="s">
        <v>1565</v>
      </c>
      <c r="F1364" s="135" t="s">
        <v>5</v>
      </c>
      <c r="G1364" s="135"/>
      <c r="H1364" s="131">
        <v>522.01</v>
      </c>
    </row>
    <row r="1365" spans="1:8" x14ac:dyDescent="0.2">
      <c r="B1365" s="135" t="s">
        <v>1660</v>
      </c>
      <c r="C1365" s="135" t="s">
        <v>547</v>
      </c>
      <c r="D1365" s="135">
        <v>60324</v>
      </c>
      <c r="E1365" s="135" t="s">
        <v>1688</v>
      </c>
      <c r="F1365" s="135" t="s">
        <v>5</v>
      </c>
      <c r="G1365" s="135" t="s">
        <v>1689</v>
      </c>
      <c r="H1365" s="131">
        <v>831</v>
      </c>
    </row>
    <row r="1366" spans="1:8" x14ac:dyDescent="0.2">
      <c r="B1366" s="135" t="s">
        <v>1793</v>
      </c>
      <c r="C1366" s="135" t="s">
        <v>547</v>
      </c>
      <c r="D1366" s="135">
        <v>70924</v>
      </c>
      <c r="E1366" s="135" t="s">
        <v>1688</v>
      </c>
      <c r="F1366" s="135" t="s">
        <v>5</v>
      </c>
      <c r="G1366" s="135" t="s">
        <v>1689</v>
      </c>
      <c r="H1366" s="131">
        <v>0</v>
      </c>
    </row>
    <row r="1367" spans="1:8" x14ac:dyDescent="0.2">
      <c r="A1367" s="129" t="s">
        <v>1690</v>
      </c>
      <c r="H1367" s="132">
        <v>1353.01</v>
      </c>
    </row>
    <row r="1368" spans="1:8" x14ac:dyDescent="0.2">
      <c r="A1368" s="129" t="s">
        <v>2172</v>
      </c>
    </row>
    <row r="1369" spans="1:8" x14ac:dyDescent="0.2">
      <c r="B1369" s="135" t="s">
        <v>1659</v>
      </c>
      <c r="C1369" s="135" t="s">
        <v>3</v>
      </c>
      <c r="D1369" s="135"/>
      <c r="E1369" s="135" t="s">
        <v>1050</v>
      </c>
      <c r="F1369" s="135" t="s">
        <v>5</v>
      </c>
      <c r="G1369" s="135"/>
      <c r="H1369" s="131">
        <v>30.33</v>
      </c>
    </row>
    <row r="1370" spans="1:8" x14ac:dyDescent="0.2">
      <c r="B1370" s="135" t="s">
        <v>2113</v>
      </c>
      <c r="C1370" s="135" t="s">
        <v>547</v>
      </c>
      <c r="D1370" s="135">
        <v>81324</v>
      </c>
      <c r="E1370" s="135" t="s">
        <v>1973</v>
      </c>
      <c r="F1370" s="135" t="s">
        <v>5</v>
      </c>
      <c r="G1370" s="135" t="s">
        <v>2173</v>
      </c>
      <c r="H1370" s="131">
        <v>529.44000000000005</v>
      </c>
    </row>
    <row r="1371" spans="1:8" x14ac:dyDescent="0.2">
      <c r="B1371" s="135" t="s">
        <v>2113</v>
      </c>
      <c r="C1371" s="135" t="s">
        <v>3</v>
      </c>
      <c r="D1371" s="135"/>
      <c r="E1371" s="135" t="s">
        <v>1952</v>
      </c>
      <c r="F1371" s="135" t="s">
        <v>5</v>
      </c>
      <c r="G1371" s="135">
        <v>0</v>
      </c>
      <c r="H1371" s="131">
        <v>151.75</v>
      </c>
    </row>
    <row r="1372" spans="1:8" x14ac:dyDescent="0.2">
      <c r="A1372" s="129" t="s">
        <v>2174</v>
      </c>
      <c r="H1372" s="132">
        <v>711.52</v>
      </c>
    </row>
    <row r="1373" spans="1:8" x14ac:dyDescent="0.2">
      <c r="A1373" s="129" t="s">
        <v>2176</v>
      </c>
    </row>
    <row r="1374" spans="1:8" x14ac:dyDescent="0.2">
      <c r="B1374" s="135" t="s">
        <v>2096</v>
      </c>
      <c r="C1374" s="135" t="s">
        <v>3</v>
      </c>
      <c r="D1374" s="135"/>
      <c r="E1374" s="135" t="s">
        <v>2285</v>
      </c>
      <c r="F1374" s="135" t="s">
        <v>5</v>
      </c>
      <c r="G1374" s="135"/>
      <c r="H1374" s="131">
        <v>63.9</v>
      </c>
    </row>
    <row r="1375" spans="1:8" x14ac:dyDescent="0.2">
      <c r="B1375" s="135" t="s">
        <v>2113</v>
      </c>
      <c r="C1375" s="135" t="s">
        <v>547</v>
      </c>
      <c r="D1375" s="135">
        <v>81324</v>
      </c>
      <c r="E1375" s="135" t="s">
        <v>2177</v>
      </c>
      <c r="F1375" s="135" t="s">
        <v>5</v>
      </c>
      <c r="G1375" s="135" t="s">
        <v>2178</v>
      </c>
      <c r="H1375" s="131">
        <v>1362.86</v>
      </c>
    </row>
    <row r="1376" spans="1:8" x14ac:dyDescent="0.2">
      <c r="A1376" s="129" t="s">
        <v>2179</v>
      </c>
      <c r="H1376" s="132">
        <v>1426.76</v>
      </c>
    </row>
    <row r="1377" spans="1:8" x14ac:dyDescent="0.2">
      <c r="A1377" s="129" t="s">
        <v>1958</v>
      </c>
    </row>
    <row r="1378" spans="1:8" x14ac:dyDescent="0.2">
      <c r="B1378" s="135" t="s">
        <v>1619</v>
      </c>
      <c r="C1378" s="135" t="s">
        <v>3</v>
      </c>
      <c r="D1378" s="135">
        <v>80846</v>
      </c>
      <c r="E1378" s="135" t="s">
        <v>1959</v>
      </c>
      <c r="F1378" s="135" t="s">
        <v>5</v>
      </c>
      <c r="G1378" s="135"/>
      <c r="H1378" s="131">
        <v>225</v>
      </c>
    </row>
    <row r="1379" spans="1:8" x14ac:dyDescent="0.2">
      <c r="A1379" s="129" t="s">
        <v>1960</v>
      </c>
      <c r="H1379" s="132">
        <v>225</v>
      </c>
    </row>
    <row r="1380" spans="1:8" x14ac:dyDescent="0.2">
      <c r="A1380" s="129" t="s">
        <v>1691</v>
      </c>
      <c r="H1380" s="132">
        <v>3716.29</v>
      </c>
    </row>
    <row r="1381" spans="1:8" x14ac:dyDescent="0.2">
      <c r="A1381" s="129" t="s">
        <v>1068</v>
      </c>
    </row>
    <row r="1382" spans="1:8" x14ac:dyDescent="0.2">
      <c r="A1382" s="129" t="s">
        <v>1390</v>
      </c>
    </row>
    <row r="1383" spans="1:8" x14ac:dyDescent="0.2">
      <c r="B1383" s="135" t="s">
        <v>1391</v>
      </c>
      <c r="C1383" s="135" t="s">
        <v>102</v>
      </c>
      <c r="D1383" s="135">
        <v>287775</v>
      </c>
      <c r="E1383" s="135" t="s">
        <v>1392</v>
      </c>
      <c r="F1383" s="135" t="s">
        <v>5</v>
      </c>
      <c r="G1383" s="135" t="s">
        <v>1393</v>
      </c>
      <c r="H1383" s="131">
        <v>80.64</v>
      </c>
    </row>
    <row r="1384" spans="1:8" x14ac:dyDescent="0.2">
      <c r="B1384" s="135" t="s">
        <v>1788</v>
      </c>
      <c r="C1384" s="135" t="s">
        <v>3</v>
      </c>
      <c r="D1384" s="135"/>
      <c r="E1384" s="135" t="s">
        <v>1556</v>
      </c>
      <c r="F1384" s="135" t="s">
        <v>5</v>
      </c>
      <c r="G1384" s="135"/>
      <c r="H1384" s="131">
        <v>66.069999999999993</v>
      </c>
    </row>
    <row r="1385" spans="1:8" x14ac:dyDescent="0.2">
      <c r="B1385" s="135" t="s">
        <v>1793</v>
      </c>
      <c r="C1385" s="135" t="s">
        <v>547</v>
      </c>
      <c r="D1385" s="135">
        <v>70924</v>
      </c>
      <c r="E1385" s="135" t="s">
        <v>1961</v>
      </c>
      <c r="F1385" s="135" t="s">
        <v>5</v>
      </c>
      <c r="G1385" s="135" t="s">
        <v>1962</v>
      </c>
      <c r="H1385" s="131">
        <v>750</v>
      </c>
    </row>
    <row r="1386" spans="1:8" x14ac:dyDescent="0.2">
      <c r="B1386" s="135" t="s">
        <v>2113</v>
      </c>
      <c r="C1386" s="135" t="s">
        <v>547</v>
      </c>
      <c r="D1386" s="135">
        <v>81324</v>
      </c>
      <c r="E1386" s="135" t="s">
        <v>1392</v>
      </c>
      <c r="F1386" s="135" t="s">
        <v>5</v>
      </c>
      <c r="G1386" s="135" t="s">
        <v>2175</v>
      </c>
      <c r="H1386" s="131">
        <v>161.28</v>
      </c>
    </row>
    <row r="1387" spans="1:8" x14ac:dyDescent="0.2">
      <c r="B1387" s="135" t="s">
        <v>2112</v>
      </c>
      <c r="C1387" s="135" t="s">
        <v>3</v>
      </c>
      <c r="D1387" s="135"/>
      <c r="E1387" s="135" t="s">
        <v>2286</v>
      </c>
      <c r="F1387" s="135" t="s">
        <v>5</v>
      </c>
      <c r="G1387" s="135"/>
      <c r="H1387" s="131">
        <v>210</v>
      </c>
    </row>
    <row r="1388" spans="1:8" x14ac:dyDescent="0.2">
      <c r="B1388" s="135" t="s">
        <v>2399</v>
      </c>
      <c r="C1388" s="135" t="s">
        <v>3</v>
      </c>
      <c r="D1388" s="135"/>
      <c r="E1388" s="135" t="s">
        <v>1050</v>
      </c>
      <c r="F1388" s="135" t="s">
        <v>5</v>
      </c>
      <c r="G1388" s="135" t="s">
        <v>2411</v>
      </c>
      <c r="H1388" s="131">
        <v>92.04</v>
      </c>
    </row>
    <row r="1389" spans="1:8" x14ac:dyDescent="0.2">
      <c r="A1389" s="129" t="s">
        <v>1394</v>
      </c>
      <c r="H1389" s="132">
        <v>1360.03</v>
      </c>
    </row>
    <row r="1390" spans="1:8" x14ac:dyDescent="0.2">
      <c r="A1390" s="129" t="s">
        <v>2287</v>
      </c>
    </row>
    <row r="1391" spans="1:8" x14ac:dyDescent="0.2">
      <c r="B1391" s="135" t="s">
        <v>2260</v>
      </c>
      <c r="C1391" s="135" t="s">
        <v>547</v>
      </c>
      <c r="D1391" s="135">
        <v>91024</v>
      </c>
      <c r="E1391" s="135" t="s">
        <v>2288</v>
      </c>
      <c r="F1391" s="135" t="s">
        <v>5</v>
      </c>
      <c r="G1391" s="135" t="s">
        <v>2289</v>
      </c>
      <c r="H1391" s="131">
        <v>1477.19</v>
      </c>
    </row>
    <row r="1392" spans="1:8" x14ac:dyDescent="0.2">
      <c r="B1392" s="135" t="s">
        <v>2377</v>
      </c>
      <c r="C1392" s="135" t="s">
        <v>3</v>
      </c>
      <c r="D1392" s="135"/>
      <c r="E1392" s="135" t="s">
        <v>2425</v>
      </c>
      <c r="F1392" s="135" t="s">
        <v>5</v>
      </c>
      <c r="G1392" s="135"/>
      <c r="H1392" s="131">
        <v>1606.32</v>
      </c>
    </row>
    <row r="1393" spans="1:8" x14ac:dyDescent="0.2">
      <c r="A1393" s="129" t="s">
        <v>2290</v>
      </c>
      <c r="H1393" s="132">
        <v>3083.51</v>
      </c>
    </row>
    <row r="1394" spans="1:8" x14ac:dyDescent="0.2">
      <c r="A1394" s="129" t="s">
        <v>1069</v>
      </c>
    </row>
    <row r="1395" spans="1:8" x14ac:dyDescent="0.2">
      <c r="B1395" s="135" t="s">
        <v>821</v>
      </c>
      <c r="C1395" s="135" t="s">
        <v>102</v>
      </c>
      <c r="D1395" s="135">
        <v>76218</v>
      </c>
      <c r="E1395" s="135" t="s">
        <v>1070</v>
      </c>
      <c r="F1395" s="135" t="s">
        <v>5</v>
      </c>
      <c r="G1395" s="135"/>
      <c r="H1395" s="131">
        <v>31.24</v>
      </c>
    </row>
    <row r="1396" spans="1:8" x14ac:dyDescent="0.2">
      <c r="B1396" s="135" t="s">
        <v>1012</v>
      </c>
      <c r="C1396" s="135" t="s">
        <v>102</v>
      </c>
      <c r="D1396" s="135"/>
      <c r="E1396" s="135" t="s">
        <v>1070</v>
      </c>
      <c r="F1396" s="135" t="s">
        <v>5</v>
      </c>
      <c r="G1396" s="135"/>
      <c r="H1396" s="131">
        <v>31.04</v>
      </c>
    </row>
    <row r="1397" spans="1:8" x14ac:dyDescent="0.2">
      <c r="B1397" s="135" t="s">
        <v>1161</v>
      </c>
      <c r="C1397" s="135" t="s">
        <v>102</v>
      </c>
      <c r="D1397" s="135">
        <v>76557</v>
      </c>
      <c r="E1397" s="135" t="s">
        <v>1070</v>
      </c>
      <c r="F1397" s="135" t="s">
        <v>5</v>
      </c>
      <c r="G1397" s="135"/>
      <c r="H1397" s="131">
        <v>30.9</v>
      </c>
    </row>
    <row r="1398" spans="1:8" x14ac:dyDescent="0.2">
      <c r="B1398" s="135" t="s">
        <v>1280</v>
      </c>
      <c r="C1398" s="135" t="s">
        <v>102</v>
      </c>
      <c r="D1398" s="135">
        <v>76711</v>
      </c>
      <c r="E1398" s="135" t="s">
        <v>1070</v>
      </c>
      <c r="F1398" s="135" t="s">
        <v>5</v>
      </c>
      <c r="G1398" s="135"/>
      <c r="H1398" s="131">
        <v>30.97</v>
      </c>
    </row>
    <row r="1399" spans="1:8" x14ac:dyDescent="0.2">
      <c r="B1399" s="135" t="s">
        <v>1280</v>
      </c>
      <c r="C1399" s="135" t="s">
        <v>102</v>
      </c>
      <c r="D1399" s="135">
        <v>76711</v>
      </c>
      <c r="E1399" s="135" t="s">
        <v>1070</v>
      </c>
      <c r="F1399" s="135" t="s">
        <v>5</v>
      </c>
      <c r="G1399" s="135"/>
      <c r="H1399" s="131">
        <v>30.97</v>
      </c>
    </row>
    <row r="1400" spans="1:8" x14ac:dyDescent="0.2">
      <c r="B1400" s="135" t="s">
        <v>1660</v>
      </c>
      <c r="C1400" s="135" t="s">
        <v>547</v>
      </c>
      <c r="D1400" s="135">
        <v>60324</v>
      </c>
      <c r="E1400" s="135" t="s">
        <v>1070</v>
      </c>
      <c r="F1400" s="135" t="s">
        <v>5</v>
      </c>
      <c r="G1400" s="135" t="s">
        <v>1692</v>
      </c>
      <c r="H1400" s="131">
        <v>30.97</v>
      </c>
    </row>
    <row r="1401" spans="1:8" x14ac:dyDescent="0.2">
      <c r="B1401" s="135" t="s">
        <v>1793</v>
      </c>
      <c r="C1401" s="135" t="s">
        <v>547</v>
      </c>
      <c r="D1401" s="135">
        <v>70924</v>
      </c>
      <c r="E1401" s="135" t="s">
        <v>1070</v>
      </c>
      <c r="F1401" s="135" t="s">
        <v>5</v>
      </c>
      <c r="G1401" s="135" t="s">
        <v>1963</v>
      </c>
      <c r="H1401" s="131">
        <v>30.9</v>
      </c>
    </row>
    <row r="1402" spans="1:8" x14ac:dyDescent="0.2">
      <c r="B1402" s="135" t="s">
        <v>1835</v>
      </c>
      <c r="C1402" s="135" t="s">
        <v>547</v>
      </c>
      <c r="D1402" s="135">
        <v>72924</v>
      </c>
      <c r="E1402" s="135" t="s">
        <v>1070</v>
      </c>
      <c r="F1402" s="135" t="s">
        <v>5</v>
      </c>
      <c r="G1402" s="135" t="s">
        <v>1964</v>
      </c>
      <c r="H1402" s="136"/>
    </row>
    <row r="1403" spans="1:8" x14ac:dyDescent="0.2">
      <c r="B1403" s="135" t="s">
        <v>2096</v>
      </c>
      <c r="C1403" s="135" t="s">
        <v>3</v>
      </c>
      <c r="D1403" s="135"/>
      <c r="E1403" s="135" t="s">
        <v>1070</v>
      </c>
      <c r="F1403" s="135" t="s">
        <v>5</v>
      </c>
      <c r="G1403" s="135"/>
      <c r="H1403" s="131">
        <v>30.69</v>
      </c>
    </row>
    <row r="1404" spans="1:8" x14ac:dyDescent="0.2">
      <c r="B1404" s="135" t="s">
        <v>2113</v>
      </c>
      <c r="C1404" s="135" t="s">
        <v>547</v>
      </c>
      <c r="D1404" s="135">
        <v>81324</v>
      </c>
      <c r="E1404" s="135" t="s">
        <v>1070</v>
      </c>
      <c r="F1404" s="135" t="s">
        <v>5</v>
      </c>
      <c r="G1404" s="135" t="s">
        <v>2180</v>
      </c>
      <c r="H1404" s="131">
        <v>494.65</v>
      </c>
    </row>
    <row r="1405" spans="1:8" x14ac:dyDescent="0.2">
      <c r="B1405" s="135" t="s">
        <v>2355</v>
      </c>
      <c r="C1405" s="135" t="s">
        <v>547</v>
      </c>
      <c r="D1405" s="135">
        <v>100124</v>
      </c>
      <c r="E1405" s="135" t="s">
        <v>1070</v>
      </c>
      <c r="F1405" s="135" t="s">
        <v>5</v>
      </c>
      <c r="G1405" s="135" t="s">
        <v>2410</v>
      </c>
      <c r="H1405" s="131">
        <v>726.18</v>
      </c>
    </row>
    <row r="1406" spans="1:8" x14ac:dyDescent="0.2">
      <c r="A1406" s="129" t="s">
        <v>1071</v>
      </c>
      <c r="H1406" s="132">
        <v>1468.51</v>
      </c>
    </row>
    <row r="1407" spans="1:8" x14ac:dyDescent="0.2">
      <c r="A1407" s="129" t="s">
        <v>1965</v>
      </c>
    </row>
    <row r="1408" spans="1:8" x14ac:dyDescent="0.2">
      <c r="B1408" s="135" t="s">
        <v>1566</v>
      </c>
      <c r="C1408" s="135" t="s">
        <v>3</v>
      </c>
      <c r="D1408" s="135"/>
      <c r="E1408" s="135" t="s">
        <v>1966</v>
      </c>
      <c r="F1408" s="135" t="s">
        <v>5</v>
      </c>
      <c r="G1408" s="135"/>
      <c r="H1408" s="131">
        <v>550</v>
      </c>
    </row>
    <row r="1409" spans="1:8" x14ac:dyDescent="0.2">
      <c r="A1409" s="129" t="s">
        <v>1967</v>
      </c>
      <c r="H1409" s="132">
        <v>550</v>
      </c>
    </row>
    <row r="1410" spans="1:8" x14ac:dyDescent="0.2">
      <c r="A1410" s="129" t="s">
        <v>1395</v>
      </c>
    </row>
    <row r="1411" spans="1:8" x14ac:dyDescent="0.2">
      <c r="B1411" s="135" t="s">
        <v>1369</v>
      </c>
      <c r="C1411" s="135" t="s">
        <v>547</v>
      </c>
      <c r="D1411" s="135">
        <v>50724</v>
      </c>
      <c r="E1411" s="135" t="s">
        <v>1396</v>
      </c>
      <c r="F1411" s="135" t="s">
        <v>5</v>
      </c>
      <c r="G1411" s="135" t="s">
        <v>1397</v>
      </c>
      <c r="H1411" s="131">
        <v>1335</v>
      </c>
    </row>
    <row r="1412" spans="1:8" x14ac:dyDescent="0.2">
      <c r="B1412" s="135" t="s">
        <v>1447</v>
      </c>
      <c r="C1412" s="135" t="s">
        <v>102</v>
      </c>
      <c r="D1412" s="135">
        <v>74806</v>
      </c>
      <c r="E1412" s="135" t="s">
        <v>1402</v>
      </c>
      <c r="F1412" s="135" t="s">
        <v>5</v>
      </c>
      <c r="G1412" s="135" t="s">
        <v>1568</v>
      </c>
      <c r="H1412" s="131">
        <v>16.64</v>
      </c>
    </row>
    <row r="1413" spans="1:8" x14ac:dyDescent="0.2">
      <c r="B1413" s="135" t="s">
        <v>1455</v>
      </c>
      <c r="C1413" s="135" t="s">
        <v>3</v>
      </c>
      <c r="D1413" s="135"/>
      <c r="E1413" s="135" t="s">
        <v>1050</v>
      </c>
      <c r="F1413" s="135" t="s">
        <v>5</v>
      </c>
      <c r="G1413" s="135" t="s">
        <v>1151</v>
      </c>
      <c r="H1413" s="131">
        <v>21.97</v>
      </c>
    </row>
    <row r="1414" spans="1:8" x14ac:dyDescent="0.2">
      <c r="B1414" s="135" t="s">
        <v>1968</v>
      </c>
      <c r="C1414" s="135" t="s">
        <v>339</v>
      </c>
      <c r="D1414" s="135" t="s">
        <v>1969</v>
      </c>
      <c r="E1414" s="135"/>
      <c r="F1414" s="135" t="s">
        <v>5</v>
      </c>
      <c r="G1414" s="135" t="s">
        <v>1970</v>
      </c>
      <c r="H1414" s="131">
        <v>69.36</v>
      </c>
    </row>
    <row r="1415" spans="1:8" x14ac:dyDescent="0.2">
      <c r="B1415" s="135" t="s">
        <v>1971</v>
      </c>
      <c r="C1415" s="135" t="s">
        <v>3</v>
      </c>
      <c r="D1415" s="135"/>
      <c r="E1415" s="135" t="s">
        <v>1972</v>
      </c>
      <c r="F1415" s="135" t="s">
        <v>5</v>
      </c>
      <c r="G1415" s="135"/>
      <c r="H1415" s="131">
        <v>39.4</v>
      </c>
    </row>
    <row r="1416" spans="1:8" x14ac:dyDescent="0.2">
      <c r="B1416" s="135" t="s">
        <v>1971</v>
      </c>
      <c r="C1416" s="135" t="s">
        <v>3</v>
      </c>
      <c r="D1416" s="135"/>
      <c r="E1416" s="135" t="s">
        <v>1973</v>
      </c>
      <c r="F1416" s="135" t="s">
        <v>5</v>
      </c>
      <c r="G1416" s="135"/>
      <c r="H1416" s="131">
        <v>34.25</v>
      </c>
    </row>
    <row r="1417" spans="1:8" x14ac:dyDescent="0.2">
      <c r="B1417" s="135" t="s">
        <v>1953</v>
      </c>
      <c r="C1417" s="135" t="s">
        <v>1954</v>
      </c>
      <c r="D1417" s="135"/>
      <c r="E1417" s="135" t="s">
        <v>1050</v>
      </c>
      <c r="F1417" s="135" t="s">
        <v>5</v>
      </c>
      <c r="G1417" s="135"/>
      <c r="H1417" s="131">
        <v>-21.97</v>
      </c>
    </row>
    <row r="1418" spans="1:8" x14ac:dyDescent="0.2">
      <c r="B1418" s="135" t="s">
        <v>1659</v>
      </c>
      <c r="C1418" s="135" t="s">
        <v>3</v>
      </c>
      <c r="D1418" s="135"/>
      <c r="E1418" s="135" t="s">
        <v>1050</v>
      </c>
      <c r="F1418" s="135" t="s">
        <v>5</v>
      </c>
      <c r="G1418" s="135"/>
      <c r="H1418" s="131">
        <v>57.98</v>
      </c>
    </row>
    <row r="1419" spans="1:8" x14ac:dyDescent="0.2">
      <c r="B1419" s="135" t="s">
        <v>1793</v>
      </c>
      <c r="C1419" s="135" t="s">
        <v>547</v>
      </c>
      <c r="D1419" s="135">
        <v>70924</v>
      </c>
      <c r="E1419" s="135" t="s">
        <v>1674</v>
      </c>
      <c r="F1419" s="135" t="s">
        <v>5</v>
      </c>
      <c r="G1419" s="135" t="s">
        <v>1976</v>
      </c>
      <c r="H1419" s="131">
        <v>51.17</v>
      </c>
    </row>
    <row r="1420" spans="1:8" x14ac:dyDescent="0.2">
      <c r="B1420" s="135" t="s">
        <v>1793</v>
      </c>
      <c r="C1420" s="135" t="s">
        <v>547</v>
      </c>
      <c r="D1420" s="135">
        <v>90425</v>
      </c>
      <c r="E1420" s="135" t="s">
        <v>1667</v>
      </c>
      <c r="F1420" s="135" t="s">
        <v>5</v>
      </c>
      <c r="G1420" s="135" t="s">
        <v>1978</v>
      </c>
      <c r="H1420" s="131">
        <v>21.25</v>
      </c>
    </row>
    <row r="1421" spans="1:8" x14ac:dyDescent="0.2">
      <c r="B1421" s="135" t="s">
        <v>1793</v>
      </c>
      <c r="C1421" s="135" t="s">
        <v>547</v>
      </c>
      <c r="D1421" s="135">
        <v>70924</v>
      </c>
      <c r="E1421" s="135" t="s">
        <v>1402</v>
      </c>
      <c r="F1421" s="135" t="s">
        <v>5</v>
      </c>
      <c r="G1421" s="135" t="s">
        <v>1977</v>
      </c>
      <c r="H1421" s="131">
        <v>45.99</v>
      </c>
    </row>
    <row r="1422" spans="1:8" x14ac:dyDescent="0.2">
      <c r="B1422" s="135" t="s">
        <v>1793</v>
      </c>
      <c r="C1422" s="135" t="s">
        <v>547</v>
      </c>
      <c r="D1422" s="135">
        <v>70924</v>
      </c>
      <c r="E1422" s="135" t="s">
        <v>1674</v>
      </c>
      <c r="F1422" s="135" t="s">
        <v>5</v>
      </c>
      <c r="G1422" s="135" t="s">
        <v>1975</v>
      </c>
      <c r="H1422" s="131">
        <v>227.13</v>
      </c>
    </row>
    <row r="1423" spans="1:8" x14ac:dyDescent="0.2">
      <c r="B1423" s="135" t="s">
        <v>1793</v>
      </c>
      <c r="C1423" s="135" t="s">
        <v>547</v>
      </c>
      <c r="D1423" s="135">
        <v>70924</v>
      </c>
      <c r="E1423" s="135" t="s">
        <v>1674</v>
      </c>
      <c r="F1423" s="135" t="s">
        <v>5</v>
      </c>
      <c r="G1423" s="135" t="s">
        <v>1974</v>
      </c>
      <c r="H1423" s="131">
        <v>309.81</v>
      </c>
    </row>
    <row r="1424" spans="1:8" x14ac:dyDescent="0.2">
      <c r="B1424" s="135" t="s">
        <v>1793</v>
      </c>
      <c r="C1424" s="135" t="s">
        <v>547</v>
      </c>
      <c r="D1424" s="135">
        <v>70924</v>
      </c>
      <c r="E1424" s="135" t="s">
        <v>1674</v>
      </c>
      <c r="F1424" s="135" t="s">
        <v>5</v>
      </c>
      <c r="G1424" s="135" t="s">
        <v>1979</v>
      </c>
      <c r="H1424" s="131">
        <v>453.86</v>
      </c>
    </row>
    <row r="1425" spans="2:8" x14ac:dyDescent="0.2">
      <c r="B1425" s="135" t="s">
        <v>1854</v>
      </c>
      <c r="C1425" s="135" t="s">
        <v>3</v>
      </c>
      <c r="D1425" s="135"/>
      <c r="E1425" s="135" t="s">
        <v>1050</v>
      </c>
      <c r="F1425" s="135" t="s">
        <v>5</v>
      </c>
      <c r="G1425" s="135"/>
      <c r="H1425" s="131">
        <v>189.2</v>
      </c>
    </row>
    <row r="1426" spans="2:8" x14ac:dyDescent="0.2">
      <c r="B1426" s="135" t="s">
        <v>1835</v>
      </c>
      <c r="C1426" s="135" t="s">
        <v>547</v>
      </c>
      <c r="D1426" s="135">
        <v>72924</v>
      </c>
      <c r="E1426" s="135" t="s">
        <v>1973</v>
      </c>
      <c r="F1426" s="135" t="s">
        <v>5</v>
      </c>
      <c r="G1426" s="135" t="s">
        <v>1985</v>
      </c>
      <c r="H1426" s="131">
        <v>97</v>
      </c>
    </row>
    <row r="1427" spans="2:8" x14ac:dyDescent="0.2">
      <c r="B1427" s="135" t="s">
        <v>1835</v>
      </c>
      <c r="C1427" s="135" t="s">
        <v>547</v>
      </c>
      <c r="D1427" s="135">
        <v>72924</v>
      </c>
      <c r="E1427" s="135" t="s">
        <v>1973</v>
      </c>
      <c r="F1427" s="135" t="s">
        <v>5</v>
      </c>
      <c r="G1427" s="135" t="s">
        <v>1981</v>
      </c>
      <c r="H1427" s="131">
        <v>272.93</v>
      </c>
    </row>
    <row r="1428" spans="2:8" x14ac:dyDescent="0.2">
      <c r="B1428" s="135" t="s">
        <v>1835</v>
      </c>
      <c r="C1428" s="135" t="s">
        <v>547</v>
      </c>
      <c r="D1428" s="135">
        <v>72924</v>
      </c>
      <c r="E1428" s="135" t="s">
        <v>1973</v>
      </c>
      <c r="F1428" s="135" t="s">
        <v>5</v>
      </c>
      <c r="G1428" s="135" t="s">
        <v>1982</v>
      </c>
      <c r="H1428" s="131">
        <v>177.32</v>
      </c>
    </row>
    <row r="1429" spans="2:8" x14ac:dyDescent="0.2">
      <c r="B1429" s="135" t="s">
        <v>1835</v>
      </c>
      <c r="C1429" s="135" t="s">
        <v>547</v>
      </c>
      <c r="D1429" s="135">
        <v>72924</v>
      </c>
      <c r="E1429" s="135" t="s">
        <v>1973</v>
      </c>
      <c r="F1429" s="135" t="s">
        <v>5</v>
      </c>
      <c r="G1429" s="135" t="s">
        <v>1983</v>
      </c>
      <c r="H1429" s="131">
        <v>166.7</v>
      </c>
    </row>
    <row r="1430" spans="2:8" x14ac:dyDescent="0.2">
      <c r="B1430" s="135" t="s">
        <v>1835</v>
      </c>
      <c r="C1430" s="135" t="s">
        <v>547</v>
      </c>
      <c r="D1430" s="135">
        <v>72924</v>
      </c>
      <c r="E1430" s="135" t="s">
        <v>1973</v>
      </c>
      <c r="F1430" s="135" t="s">
        <v>5</v>
      </c>
      <c r="G1430" s="135" t="s">
        <v>1980</v>
      </c>
      <c r="H1430" s="131">
        <v>141.68</v>
      </c>
    </row>
    <row r="1431" spans="2:8" x14ac:dyDescent="0.2">
      <c r="B1431" s="135" t="s">
        <v>1835</v>
      </c>
      <c r="C1431" s="135" t="s">
        <v>547</v>
      </c>
      <c r="D1431" s="135">
        <v>72924</v>
      </c>
      <c r="E1431" s="135" t="s">
        <v>1973</v>
      </c>
      <c r="F1431" s="135" t="s">
        <v>5</v>
      </c>
      <c r="G1431" s="135" t="s">
        <v>1984</v>
      </c>
      <c r="H1431" s="131">
        <v>110.26</v>
      </c>
    </row>
    <row r="1432" spans="2:8" x14ac:dyDescent="0.2">
      <c r="B1432" s="135" t="s">
        <v>1835</v>
      </c>
      <c r="C1432" s="135" t="s">
        <v>547</v>
      </c>
      <c r="D1432" s="135">
        <v>72924</v>
      </c>
      <c r="E1432" s="135" t="s">
        <v>1973</v>
      </c>
      <c r="F1432" s="135" t="s">
        <v>5</v>
      </c>
      <c r="G1432" s="135" t="s">
        <v>1986</v>
      </c>
      <c r="H1432" s="131">
        <v>36.590000000000003</v>
      </c>
    </row>
    <row r="1433" spans="2:8" x14ac:dyDescent="0.2">
      <c r="B1433" s="135" t="s">
        <v>1835</v>
      </c>
      <c r="C1433" s="135" t="s">
        <v>547</v>
      </c>
      <c r="D1433" s="135">
        <v>72924</v>
      </c>
      <c r="E1433" s="135" t="s">
        <v>1973</v>
      </c>
      <c r="F1433" s="135" t="s">
        <v>5</v>
      </c>
      <c r="G1433" s="135" t="s">
        <v>1987</v>
      </c>
      <c r="H1433" s="131">
        <v>5.99</v>
      </c>
    </row>
    <row r="1434" spans="2:8" x14ac:dyDescent="0.2">
      <c r="B1434" s="135" t="s">
        <v>2136</v>
      </c>
      <c r="C1434" s="135" t="s">
        <v>3</v>
      </c>
      <c r="D1434" s="135"/>
      <c r="E1434" s="135" t="s">
        <v>2181</v>
      </c>
      <c r="F1434" s="135" t="s">
        <v>5</v>
      </c>
      <c r="G1434" s="135"/>
      <c r="H1434" s="131">
        <v>240</v>
      </c>
    </row>
    <row r="1435" spans="2:8" x14ac:dyDescent="0.2">
      <c r="B1435" s="135" t="s">
        <v>2113</v>
      </c>
      <c r="C1435" s="135" t="s">
        <v>547</v>
      </c>
      <c r="D1435" s="135">
        <v>81324</v>
      </c>
      <c r="E1435" s="135" t="s">
        <v>1402</v>
      </c>
      <c r="F1435" s="135" t="s">
        <v>5</v>
      </c>
      <c r="G1435" s="135" t="s">
        <v>2183</v>
      </c>
      <c r="H1435" s="131">
        <v>6.07</v>
      </c>
    </row>
    <row r="1436" spans="2:8" x14ac:dyDescent="0.2">
      <c r="B1436" s="135" t="s">
        <v>2113</v>
      </c>
      <c r="C1436" s="135" t="s">
        <v>547</v>
      </c>
      <c r="D1436" s="135">
        <v>81324</v>
      </c>
      <c r="E1436" s="135" t="s">
        <v>1973</v>
      </c>
      <c r="F1436" s="135" t="s">
        <v>5</v>
      </c>
      <c r="G1436" s="135" t="s">
        <v>2184</v>
      </c>
      <c r="H1436" s="131">
        <v>185.44</v>
      </c>
    </row>
    <row r="1437" spans="2:8" x14ac:dyDescent="0.2">
      <c r="B1437" s="135" t="s">
        <v>2113</v>
      </c>
      <c r="C1437" s="135" t="s">
        <v>547</v>
      </c>
      <c r="D1437" s="135">
        <v>81324</v>
      </c>
      <c r="E1437" s="135" t="s">
        <v>1973</v>
      </c>
      <c r="F1437" s="135" t="s">
        <v>5</v>
      </c>
      <c r="G1437" s="135" t="s">
        <v>2185</v>
      </c>
      <c r="H1437" s="131">
        <v>117.83</v>
      </c>
    </row>
    <row r="1438" spans="2:8" x14ac:dyDescent="0.2">
      <c r="B1438" s="135" t="s">
        <v>2113</v>
      </c>
      <c r="C1438" s="135" t="s">
        <v>547</v>
      </c>
      <c r="D1438" s="135">
        <v>81324</v>
      </c>
      <c r="E1438" s="135" t="s">
        <v>1401</v>
      </c>
      <c r="F1438" s="135" t="s">
        <v>5</v>
      </c>
      <c r="G1438" s="135" t="s">
        <v>2182</v>
      </c>
      <c r="H1438" s="131">
        <v>46.37</v>
      </c>
    </row>
    <row r="1439" spans="2:8" x14ac:dyDescent="0.2">
      <c r="B1439" s="135" t="s">
        <v>2113</v>
      </c>
      <c r="C1439" s="135" t="s">
        <v>547</v>
      </c>
      <c r="D1439" s="135">
        <v>81324</v>
      </c>
      <c r="E1439" s="135" t="s">
        <v>1402</v>
      </c>
      <c r="F1439" s="135" t="s">
        <v>5</v>
      </c>
      <c r="G1439" s="135" t="s">
        <v>2186</v>
      </c>
      <c r="H1439" s="131">
        <v>7.99</v>
      </c>
    </row>
    <row r="1440" spans="2:8" x14ac:dyDescent="0.2">
      <c r="B1440" s="135" t="s">
        <v>2112</v>
      </c>
      <c r="C1440" s="135" t="s">
        <v>547</v>
      </c>
      <c r="D1440" s="135">
        <v>82824</v>
      </c>
      <c r="E1440" s="135" t="s">
        <v>2187</v>
      </c>
      <c r="F1440" s="135" t="s">
        <v>5</v>
      </c>
      <c r="G1440" s="135" t="s">
        <v>2188</v>
      </c>
      <c r="H1440" s="131">
        <v>161.04</v>
      </c>
    </row>
    <row r="1441" spans="2:8" x14ac:dyDescent="0.2">
      <c r="B1441" s="135" t="s">
        <v>2112</v>
      </c>
      <c r="C1441" s="135" t="s">
        <v>547</v>
      </c>
      <c r="D1441" s="135">
        <v>82824</v>
      </c>
      <c r="E1441" s="135" t="s">
        <v>1401</v>
      </c>
      <c r="F1441" s="135" t="s">
        <v>5</v>
      </c>
      <c r="G1441" s="135" t="s">
        <v>2190</v>
      </c>
      <c r="H1441" s="131">
        <v>15.61</v>
      </c>
    </row>
    <row r="1442" spans="2:8" x14ac:dyDescent="0.2">
      <c r="B1442" s="135" t="s">
        <v>2112</v>
      </c>
      <c r="C1442" s="135" t="s">
        <v>547</v>
      </c>
      <c r="D1442" s="135">
        <v>82824</v>
      </c>
      <c r="E1442" s="135" t="s">
        <v>2187</v>
      </c>
      <c r="F1442" s="135" t="s">
        <v>5</v>
      </c>
      <c r="G1442" s="135" t="s">
        <v>2189</v>
      </c>
      <c r="H1442" s="131">
        <v>14.79</v>
      </c>
    </row>
    <row r="1443" spans="2:8" x14ac:dyDescent="0.2">
      <c r="B1443" s="135" t="s">
        <v>2260</v>
      </c>
      <c r="C1443" s="135" t="s">
        <v>547</v>
      </c>
      <c r="D1443" s="135">
        <v>91024</v>
      </c>
      <c r="E1443" s="135" t="s">
        <v>1402</v>
      </c>
      <c r="F1443" s="135" t="s">
        <v>5</v>
      </c>
      <c r="G1443" s="135">
        <v>80466</v>
      </c>
      <c r="H1443" s="131">
        <v>161.04</v>
      </c>
    </row>
    <row r="1444" spans="2:8" x14ac:dyDescent="0.2">
      <c r="B1444" s="135" t="s">
        <v>2260</v>
      </c>
      <c r="C1444" s="135" t="s">
        <v>547</v>
      </c>
      <c r="D1444" s="135">
        <v>91024</v>
      </c>
      <c r="E1444" s="135" t="s">
        <v>1402</v>
      </c>
      <c r="F1444" s="135" t="s">
        <v>5</v>
      </c>
      <c r="G1444" s="135">
        <v>80037</v>
      </c>
      <c r="H1444" s="131">
        <v>14.79</v>
      </c>
    </row>
    <row r="1445" spans="2:8" x14ac:dyDescent="0.2">
      <c r="B1445" s="135" t="s">
        <v>2260</v>
      </c>
      <c r="C1445" s="135" t="s">
        <v>547</v>
      </c>
      <c r="D1445" s="135">
        <v>91024</v>
      </c>
      <c r="E1445" s="135" t="s">
        <v>1402</v>
      </c>
      <c r="F1445" s="135" t="s">
        <v>5</v>
      </c>
      <c r="G1445" s="135" t="s">
        <v>2291</v>
      </c>
      <c r="H1445" s="131">
        <v>4.1500000000000004</v>
      </c>
    </row>
    <row r="1446" spans="2:8" x14ac:dyDescent="0.2">
      <c r="B1446" s="135" t="s">
        <v>2260</v>
      </c>
      <c r="C1446" s="135" t="s">
        <v>547</v>
      </c>
      <c r="D1446" s="135">
        <v>91024</v>
      </c>
      <c r="E1446" s="135" t="s">
        <v>1402</v>
      </c>
      <c r="F1446" s="135" t="s">
        <v>5</v>
      </c>
      <c r="G1446" s="135">
        <v>78900</v>
      </c>
      <c r="H1446" s="131">
        <v>974</v>
      </c>
    </row>
    <row r="1447" spans="2:8" x14ac:dyDescent="0.2">
      <c r="B1447" s="135" t="s">
        <v>2260</v>
      </c>
      <c r="C1447" s="135" t="s">
        <v>547</v>
      </c>
      <c r="D1447" s="135">
        <v>91024</v>
      </c>
      <c r="E1447" s="135" t="s">
        <v>1402</v>
      </c>
      <c r="F1447" s="135" t="s">
        <v>5</v>
      </c>
      <c r="G1447" s="135">
        <v>78810</v>
      </c>
      <c r="H1447" s="131">
        <v>128.72</v>
      </c>
    </row>
    <row r="1448" spans="2:8" x14ac:dyDescent="0.2">
      <c r="B1448" s="135" t="s">
        <v>2399</v>
      </c>
      <c r="C1448" s="135" t="s">
        <v>3</v>
      </c>
      <c r="D1448" s="135"/>
      <c r="E1448" s="135" t="s">
        <v>1050</v>
      </c>
      <c r="F1448" s="135" t="s">
        <v>5</v>
      </c>
      <c r="G1448" s="135" t="s">
        <v>2412</v>
      </c>
      <c r="H1448" s="131">
        <v>135.41999999999999</v>
      </c>
    </row>
    <row r="1449" spans="2:8" x14ac:dyDescent="0.2">
      <c r="B1449" s="135" t="s">
        <v>2413</v>
      </c>
      <c r="C1449" s="135" t="s">
        <v>3</v>
      </c>
      <c r="D1449" s="135"/>
      <c r="E1449" s="135" t="s">
        <v>1050</v>
      </c>
      <c r="F1449" s="135" t="s">
        <v>5</v>
      </c>
      <c r="G1449" s="135" t="s">
        <v>2414</v>
      </c>
      <c r="H1449" s="131">
        <v>42.56</v>
      </c>
    </row>
    <row r="1450" spans="2:8" x14ac:dyDescent="0.2">
      <c r="B1450" s="135" t="s">
        <v>2221</v>
      </c>
      <c r="C1450" s="135" t="s">
        <v>3</v>
      </c>
      <c r="D1450" s="135"/>
      <c r="E1450" s="135" t="s">
        <v>2408</v>
      </c>
      <c r="F1450" s="135" t="s">
        <v>5</v>
      </c>
      <c r="G1450" s="135" t="s">
        <v>2409</v>
      </c>
      <c r="H1450" s="131">
        <v>17.27</v>
      </c>
    </row>
    <row r="1451" spans="2:8" x14ac:dyDescent="0.2">
      <c r="B1451" s="135" t="s">
        <v>2355</v>
      </c>
      <c r="C1451" s="135" t="s">
        <v>547</v>
      </c>
      <c r="D1451" s="135">
        <v>100124</v>
      </c>
      <c r="E1451" s="135" t="s">
        <v>1973</v>
      </c>
      <c r="F1451" s="135" t="s">
        <v>5</v>
      </c>
      <c r="G1451" s="135" t="s">
        <v>2417</v>
      </c>
      <c r="H1451" s="131">
        <v>312.19</v>
      </c>
    </row>
    <row r="1452" spans="2:8" x14ac:dyDescent="0.2">
      <c r="B1452" s="135" t="s">
        <v>2355</v>
      </c>
      <c r="C1452" s="135" t="s">
        <v>547</v>
      </c>
      <c r="D1452" s="135">
        <v>100124</v>
      </c>
      <c r="E1452" s="135" t="s">
        <v>1973</v>
      </c>
      <c r="F1452" s="135" t="s">
        <v>5</v>
      </c>
      <c r="G1452" s="135" t="s">
        <v>2418</v>
      </c>
      <c r="H1452" s="131">
        <v>241.31</v>
      </c>
    </row>
    <row r="1453" spans="2:8" x14ac:dyDescent="0.2">
      <c r="B1453" s="135" t="s">
        <v>2355</v>
      </c>
      <c r="C1453" s="135" t="s">
        <v>547</v>
      </c>
      <c r="D1453" s="135">
        <v>91026</v>
      </c>
      <c r="E1453" s="135" t="s">
        <v>1402</v>
      </c>
      <c r="F1453" s="135" t="s">
        <v>5</v>
      </c>
      <c r="G1453" s="135" t="s">
        <v>2183</v>
      </c>
      <c r="H1453" s="131">
        <v>0</v>
      </c>
    </row>
    <row r="1454" spans="2:8" x14ac:dyDescent="0.2">
      <c r="B1454" s="135" t="s">
        <v>2355</v>
      </c>
      <c r="C1454" s="135" t="s">
        <v>547</v>
      </c>
      <c r="D1454" s="135">
        <v>91026</v>
      </c>
      <c r="E1454" s="135" t="s">
        <v>1402</v>
      </c>
      <c r="F1454" s="135" t="s">
        <v>5</v>
      </c>
      <c r="G1454" s="135" t="s">
        <v>2186</v>
      </c>
      <c r="H1454" s="131">
        <v>0</v>
      </c>
    </row>
    <row r="1455" spans="2:8" x14ac:dyDescent="0.2">
      <c r="B1455" s="135" t="s">
        <v>2355</v>
      </c>
      <c r="C1455" s="135" t="s">
        <v>547</v>
      </c>
      <c r="D1455" s="135">
        <v>91026</v>
      </c>
      <c r="E1455" s="135" t="s">
        <v>1402</v>
      </c>
      <c r="F1455" s="135" t="s">
        <v>5</v>
      </c>
      <c r="G1455" s="135" t="s">
        <v>2191</v>
      </c>
      <c r="H1455" s="131">
        <v>0</v>
      </c>
    </row>
    <row r="1456" spans="2:8" x14ac:dyDescent="0.2">
      <c r="B1456" s="135" t="s">
        <v>2355</v>
      </c>
      <c r="C1456" s="135" t="s">
        <v>547</v>
      </c>
      <c r="D1456" s="135">
        <v>100124</v>
      </c>
      <c r="E1456" s="135" t="s">
        <v>1401</v>
      </c>
      <c r="F1456" s="135" t="s">
        <v>5</v>
      </c>
      <c r="G1456" s="135">
        <v>194525</v>
      </c>
      <c r="H1456" s="131">
        <v>11.69</v>
      </c>
    </row>
    <row r="1457" spans="1:8" x14ac:dyDescent="0.2">
      <c r="B1457" s="135" t="s">
        <v>2355</v>
      </c>
      <c r="C1457" s="135" t="s">
        <v>547</v>
      </c>
      <c r="D1457" s="135">
        <v>100124</v>
      </c>
      <c r="E1457" s="135" t="s">
        <v>1392</v>
      </c>
      <c r="F1457" s="135" t="s">
        <v>5</v>
      </c>
      <c r="G1457" s="135" t="s">
        <v>2421</v>
      </c>
      <c r="H1457" s="131">
        <v>13.99</v>
      </c>
    </row>
    <row r="1458" spans="1:8" x14ac:dyDescent="0.2">
      <c r="B1458" s="135" t="s">
        <v>2355</v>
      </c>
      <c r="C1458" s="135" t="s">
        <v>547</v>
      </c>
      <c r="D1458" s="135">
        <v>100124</v>
      </c>
      <c r="E1458" s="135" t="s">
        <v>1401</v>
      </c>
      <c r="F1458" s="135" t="s">
        <v>5</v>
      </c>
      <c r="G1458" s="135">
        <v>198150</v>
      </c>
      <c r="H1458" s="131">
        <v>52.18</v>
      </c>
    </row>
    <row r="1459" spans="1:8" x14ac:dyDescent="0.2">
      <c r="B1459" s="135" t="s">
        <v>2355</v>
      </c>
      <c r="C1459" s="135" t="s">
        <v>547</v>
      </c>
      <c r="D1459" s="135">
        <v>100124</v>
      </c>
      <c r="E1459" s="135" t="s">
        <v>1973</v>
      </c>
      <c r="F1459" s="135" t="s">
        <v>5</v>
      </c>
      <c r="G1459" s="135" t="s">
        <v>2420</v>
      </c>
      <c r="H1459" s="131">
        <v>60.86</v>
      </c>
    </row>
    <row r="1460" spans="1:8" x14ac:dyDescent="0.2">
      <c r="B1460" s="135" t="s">
        <v>2355</v>
      </c>
      <c r="C1460" s="135" t="s">
        <v>547</v>
      </c>
      <c r="D1460" s="135">
        <v>100124</v>
      </c>
      <c r="E1460" s="135" t="s">
        <v>1973</v>
      </c>
      <c r="F1460" s="135" t="s">
        <v>5</v>
      </c>
      <c r="G1460" s="135" t="s">
        <v>2419</v>
      </c>
      <c r="H1460" s="131">
        <v>208.16</v>
      </c>
    </row>
    <row r="1461" spans="1:8" x14ac:dyDescent="0.2">
      <c r="B1461" s="135" t="s">
        <v>2594</v>
      </c>
      <c r="C1461" s="135" t="s">
        <v>3</v>
      </c>
      <c r="D1461" s="135"/>
      <c r="E1461" s="135" t="s">
        <v>1950</v>
      </c>
      <c r="F1461" s="135" t="s">
        <v>5</v>
      </c>
      <c r="G1461" s="135"/>
      <c r="H1461" s="131">
        <v>89.73</v>
      </c>
    </row>
    <row r="1462" spans="1:8" x14ac:dyDescent="0.2">
      <c r="B1462" s="135" t="s">
        <v>2582</v>
      </c>
      <c r="C1462" s="135" t="s">
        <v>547</v>
      </c>
      <c r="D1462" s="135">
        <v>112524</v>
      </c>
      <c r="E1462" s="135" t="s">
        <v>2187</v>
      </c>
      <c r="F1462" s="135" t="s">
        <v>5</v>
      </c>
      <c r="G1462" s="135" t="s">
        <v>2595</v>
      </c>
      <c r="H1462" s="131">
        <v>15.24</v>
      </c>
    </row>
    <row r="1463" spans="1:8" x14ac:dyDescent="0.2">
      <c r="B1463" s="135" t="s">
        <v>2582</v>
      </c>
      <c r="C1463" s="135" t="s">
        <v>547</v>
      </c>
      <c r="D1463" s="135">
        <v>112524</v>
      </c>
      <c r="E1463" s="135" t="s">
        <v>1401</v>
      </c>
      <c r="F1463" s="135" t="s">
        <v>5</v>
      </c>
      <c r="G1463" s="135">
        <v>214396</v>
      </c>
      <c r="H1463" s="131">
        <v>303.27999999999997</v>
      </c>
    </row>
    <row r="1464" spans="1:8" x14ac:dyDescent="0.2">
      <c r="B1464" s="135" t="s">
        <v>2582</v>
      </c>
      <c r="C1464" s="135" t="s">
        <v>547</v>
      </c>
      <c r="D1464" s="135">
        <v>112524</v>
      </c>
      <c r="E1464" s="135" t="s">
        <v>2187</v>
      </c>
      <c r="F1464" s="135" t="s">
        <v>5</v>
      </c>
      <c r="G1464" s="135" t="s">
        <v>2597</v>
      </c>
      <c r="H1464" s="131">
        <v>114.54</v>
      </c>
    </row>
    <row r="1465" spans="1:8" x14ac:dyDescent="0.2">
      <c r="B1465" s="135" t="s">
        <v>2582</v>
      </c>
      <c r="C1465" s="135" t="s">
        <v>547</v>
      </c>
      <c r="D1465" s="135">
        <v>112524</v>
      </c>
      <c r="E1465" s="135" t="s">
        <v>2187</v>
      </c>
      <c r="F1465" s="135" t="s">
        <v>5</v>
      </c>
      <c r="G1465" s="135" t="s">
        <v>2596</v>
      </c>
      <c r="H1465" s="131">
        <v>73.92</v>
      </c>
    </row>
    <row r="1466" spans="1:8" x14ac:dyDescent="0.2">
      <c r="B1466" s="135" t="s">
        <v>2582</v>
      </c>
      <c r="C1466" s="135" t="s">
        <v>547</v>
      </c>
      <c r="D1466" s="135">
        <v>112524</v>
      </c>
      <c r="E1466" s="135" t="s">
        <v>1401</v>
      </c>
      <c r="F1466" s="135" t="s">
        <v>5</v>
      </c>
      <c r="G1466" s="135">
        <v>211893</v>
      </c>
      <c r="H1466" s="131">
        <v>43.03</v>
      </c>
    </row>
    <row r="1467" spans="1:8" x14ac:dyDescent="0.2">
      <c r="B1467" s="135" t="s">
        <v>2741</v>
      </c>
      <c r="C1467" s="135" t="s">
        <v>547</v>
      </c>
      <c r="D1467" s="135" t="s">
        <v>2777</v>
      </c>
      <c r="E1467" s="135" t="s">
        <v>1401</v>
      </c>
      <c r="F1467" s="135" t="s">
        <v>5</v>
      </c>
      <c r="G1467" s="135">
        <v>218715</v>
      </c>
      <c r="H1467" s="131">
        <v>26.98</v>
      </c>
    </row>
    <row r="1468" spans="1:8" x14ac:dyDescent="0.2">
      <c r="A1468" s="129" t="s">
        <v>1398</v>
      </c>
      <c r="H1468" s="132">
        <v>7699.7</v>
      </c>
    </row>
    <row r="1469" spans="1:8" x14ac:dyDescent="0.2">
      <c r="A1469" s="129" t="s">
        <v>1399</v>
      </c>
    </row>
    <row r="1470" spans="1:8" x14ac:dyDescent="0.2">
      <c r="B1470" s="135" t="s">
        <v>1386</v>
      </c>
      <c r="C1470" s="135" t="s">
        <v>3</v>
      </c>
      <c r="D1470" s="135"/>
      <c r="E1470" s="135" t="s">
        <v>1050</v>
      </c>
      <c r="F1470" s="135" t="s">
        <v>5</v>
      </c>
      <c r="G1470" s="135"/>
      <c r="H1470" s="131">
        <v>78.37</v>
      </c>
    </row>
    <row r="1471" spans="1:8" x14ac:dyDescent="0.2">
      <c r="B1471" s="135" t="s">
        <v>1286</v>
      </c>
      <c r="C1471" s="135" t="s">
        <v>102</v>
      </c>
      <c r="D1471" s="135" t="s">
        <v>1400</v>
      </c>
      <c r="E1471" s="135" t="s">
        <v>1401</v>
      </c>
      <c r="F1471" s="135" t="s">
        <v>5</v>
      </c>
      <c r="G1471" s="135"/>
      <c r="H1471" s="131">
        <v>44.34</v>
      </c>
    </row>
    <row r="1472" spans="1:8" x14ac:dyDescent="0.2">
      <c r="B1472" s="135" t="s">
        <v>1289</v>
      </c>
      <c r="C1472" s="135" t="s">
        <v>102</v>
      </c>
      <c r="D1472" s="135">
        <v>74931</v>
      </c>
      <c r="E1472" s="135" t="s">
        <v>1402</v>
      </c>
      <c r="F1472" s="135" t="s">
        <v>5</v>
      </c>
      <c r="G1472" s="135"/>
      <c r="H1472" s="131">
        <v>26.33</v>
      </c>
    </row>
    <row r="1473" spans="2:8" x14ac:dyDescent="0.2">
      <c r="B1473" s="135" t="s">
        <v>1289</v>
      </c>
      <c r="C1473" s="135" t="s">
        <v>102</v>
      </c>
      <c r="D1473" s="135">
        <v>74916</v>
      </c>
      <c r="E1473" s="135" t="s">
        <v>1402</v>
      </c>
      <c r="F1473" s="135" t="s">
        <v>5</v>
      </c>
      <c r="G1473" s="135"/>
      <c r="H1473" s="131">
        <v>37.049999999999997</v>
      </c>
    </row>
    <row r="1474" spans="2:8" x14ac:dyDescent="0.2">
      <c r="B1474" s="135" t="s">
        <v>1293</v>
      </c>
      <c r="C1474" s="135" t="s">
        <v>3</v>
      </c>
      <c r="D1474" s="135"/>
      <c r="E1474" s="135" t="s">
        <v>1050</v>
      </c>
      <c r="F1474" s="135" t="s">
        <v>5</v>
      </c>
      <c r="G1474" s="135"/>
      <c r="H1474" s="131">
        <v>79.16</v>
      </c>
    </row>
    <row r="1475" spans="2:8" x14ac:dyDescent="0.2">
      <c r="B1475" s="135" t="s">
        <v>1403</v>
      </c>
      <c r="C1475" s="135" t="s">
        <v>102</v>
      </c>
      <c r="D1475" s="135">
        <v>75043</v>
      </c>
      <c r="E1475" s="135" t="s">
        <v>1402</v>
      </c>
      <c r="F1475" s="135" t="s">
        <v>5</v>
      </c>
      <c r="G1475" s="135"/>
      <c r="H1475" s="131">
        <v>7.38</v>
      </c>
    </row>
    <row r="1476" spans="2:8" x14ac:dyDescent="0.2">
      <c r="B1476" s="135" t="s">
        <v>1348</v>
      </c>
      <c r="C1476" s="135" t="s">
        <v>102</v>
      </c>
      <c r="D1476" s="135">
        <v>75845</v>
      </c>
      <c r="E1476" s="135" t="s">
        <v>1402</v>
      </c>
      <c r="F1476" s="135" t="s">
        <v>5</v>
      </c>
      <c r="G1476" s="135"/>
      <c r="H1476" s="131">
        <v>6.92</v>
      </c>
    </row>
    <row r="1477" spans="2:8" x14ac:dyDescent="0.2">
      <c r="B1477" s="135" t="s">
        <v>1369</v>
      </c>
      <c r="C1477" s="135" t="s">
        <v>339</v>
      </c>
      <c r="D1477" s="135" t="s">
        <v>1693</v>
      </c>
      <c r="E1477" s="135"/>
      <c r="F1477" s="135" t="s">
        <v>5</v>
      </c>
      <c r="G1477" s="135" t="s">
        <v>1694</v>
      </c>
      <c r="H1477" s="131">
        <v>-79.16</v>
      </c>
    </row>
    <row r="1478" spans="2:8" x14ac:dyDescent="0.2">
      <c r="B1478" s="135" t="s">
        <v>1542</v>
      </c>
      <c r="C1478" s="135" t="s">
        <v>102</v>
      </c>
      <c r="D1478" s="135">
        <v>74808</v>
      </c>
      <c r="E1478" s="135" t="s">
        <v>1402</v>
      </c>
      <c r="F1478" s="135" t="s">
        <v>5</v>
      </c>
      <c r="G1478" s="135"/>
      <c r="H1478" s="131">
        <v>94.39</v>
      </c>
    </row>
    <row r="1479" spans="2:8" x14ac:dyDescent="0.2">
      <c r="B1479" s="135" t="s">
        <v>1953</v>
      </c>
      <c r="C1479" s="135" t="s">
        <v>3</v>
      </c>
      <c r="D1479" s="135"/>
      <c r="E1479" s="135" t="s">
        <v>1989</v>
      </c>
      <c r="F1479" s="135" t="s">
        <v>5</v>
      </c>
      <c r="G1479" s="135"/>
      <c r="H1479" s="131">
        <v>91</v>
      </c>
    </row>
    <row r="1480" spans="2:8" x14ac:dyDescent="0.2">
      <c r="B1480" s="135" t="s">
        <v>1953</v>
      </c>
      <c r="C1480" s="135" t="s">
        <v>3</v>
      </c>
      <c r="D1480" s="135"/>
      <c r="E1480" s="135" t="s">
        <v>1988</v>
      </c>
      <c r="F1480" s="135" t="s">
        <v>5</v>
      </c>
      <c r="G1480" s="135"/>
      <c r="H1480" s="131">
        <v>1093.44</v>
      </c>
    </row>
    <row r="1481" spans="2:8" x14ac:dyDescent="0.2">
      <c r="B1481" s="135" t="s">
        <v>1659</v>
      </c>
      <c r="C1481" s="135" t="s">
        <v>3</v>
      </c>
      <c r="D1481" s="135"/>
      <c r="E1481" s="135" t="s">
        <v>1989</v>
      </c>
      <c r="F1481" s="135" t="s">
        <v>5</v>
      </c>
      <c r="G1481" s="135"/>
      <c r="H1481" s="131">
        <v>42</v>
      </c>
    </row>
    <row r="1482" spans="2:8" x14ac:dyDescent="0.2">
      <c r="B1482" s="135" t="s">
        <v>1711</v>
      </c>
      <c r="C1482" s="135" t="s">
        <v>3</v>
      </c>
      <c r="D1482" s="135"/>
      <c r="E1482" s="135" t="s">
        <v>1050</v>
      </c>
      <c r="F1482" s="135" t="s">
        <v>5</v>
      </c>
      <c r="G1482" s="135" t="s">
        <v>1151</v>
      </c>
      <c r="H1482" s="131">
        <v>55.57</v>
      </c>
    </row>
    <row r="1483" spans="2:8" x14ac:dyDescent="0.2">
      <c r="B1483" s="135" t="s">
        <v>1793</v>
      </c>
      <c r="C1483" s="135" t="s">
        <v>547</v>
      </c>
      <c r="D1483" s="135">
        <v>70924</v>
      </c>
      <c r="E1483" s="135" t="s">
        <v>1392</v>
      </c>
      <c r="F1483" s="135" t="s">
        <v>5</v>
      </c>
      <c r="G1483" s="135" t="s">
        <v>1991</v>
      </c>
      <c r="H1483" s="131">
        <v>1167.03</v>
      </c>
    </row>
    <row r="1484" spans="2:8" x14ac:dyDescent="0.2">
      <c r="B1484" s="135" t="s">
        <v>1793</v>
      </c>
      <c r="C1484" s="135" t="s">
        <v>547</v>
      </c>
      <c r="D1484" s="135">
        <v>70924</v>
      </c>
      <c r="E1484" s="135" t="s">
        <v>1402</v>
      </c>
      <c r="F1484" s="135" t="s">
        <v>5</v>
      </c>
      <c r="G1484" s="135" t="s">
        <v>1990</v>
      </c>
      <c r="H1484" s="131">
        <v>1729.42</v>
      </c>
    </row>
    <row r="1485" spans="2:8" x14ac:dyDescent="0.2">
      <c r="B1485" s="135" t="s">
        <v>2120</v>
      </c>
      <c r="C1485" s="135" t="s">
        <v>3</v>
      </c>
      <c r="D1485" s="135"/>
      <c r="E1485" s="135" t="s">
        <v>1050</v>
      </c>
      <c r="F1485" s="135" t="s">
        <v>5</v>
      </c>
      <c r="G1485" s="135" t="s">
        <v>1151</v>
      </c>
      <c r="H1485" s="131">
        <v>58.66</v>
      </c>
    </row>
    <row r="1486" spans="2:8" x14ac:dyDescent="0.2">
      <c r="B1486" s="135" t="s">
        <v>2120</v>
      </c>
      <c r="C1486" s="135" t="s">
        <v>3</v>
      </c>
      <c r="D1486" s="135"/>
      <c r="E1486" s="135" t="s">
        <v>1989</v>
      </c>
      <c r="F1486" s="135" t="s">
        <v>5</v>
      </c>
      <c r="G1486" s="135"/>
      <c r="H1486" s="131">
        <v>42</v>
      </c>
    </row>
    <row r="1487" spans="2:8" x14ac:dyDescent="0.2">
      <c r="B1487" s="135" t="s">
        <v>2117</v>
      </c>
      <c r="C1487" s="135" t="s">
        <v>3</v>
      </c>
      <c r="D1487" s="135"/>
      <c r="E1487" s="135" t="s">
        <v>1989</v>
      </c>
      <c r="F1487" s="135" t="s">
        <v>5</v>
      </c>
      <c r="G1487" s="135"/>
      <c r="H1487" s="131">
        <v>42</v>
      </c>
    </row>
    <row r="1488" spans="2:8" x14ac:dyDescent="0.2">
      <c r="B1488" s="135" t="s">
        <v>2113</v>
      </c>
      <c r="C1488" s="135" t="s">
        <v>547</v>
      </c>
      <c r="D1488" s="135">
        <v>81324</v>
      </c>
      <c r="E1488" s="135" t="s">
        <v>2192</v>
      </c>
      <c r="F1488" s="135" t="s">
        <v>5</v>
      </c>
      <c r="G1488" s="135" t="s">
        <v>2193</v>
      </c>
      <c r="H1488" s="131">
        <v>750</v>
      </c>
    </row>
    <row r="1489" spans="1:8" x14ac:dyDescent="0.2">
      <c r="B1489" s="135" t="s">
        <v>2113</v>
      </c>
      <c r="C1489" s="135" t="s">
        <v>547</v>
      </c>
      <c r="D1489" s="135">
        <v>81324</v>
      </c>
      <c r="E1489" s="135" t="s">
        <v>1402</v>
      </c>
      <c r="F1489" s="135" t="s">
        <v>5</v>
      </c>
      <c r="G1489" s="135" t="s">
        <v>2191</v>
      </c>
      <c r="H1489" s="131">
        <v>165.92</v>
      </c>
    </row>
    <row r="1490" spans="1:8" x14ac:dyDescent="0.2">
      <c r="B1490" s="135" t="s">
        <v>2399</v>
      </c>
      <c r="C1490" s="135" t="s">
        <v>3</v>
      </c>
      <c r="D1490" s="135"/>
      <c r="E1490" s="135" t="s">
        <v>1989</v>
      </c>
      <c r="F1490" s="135" t="s">
        <v>5</v>
      </c>
      <c r="G1490" s="135" t="s">
        <v>2424</v>
      </c>
      <c r="H1490" s="131">
        <v>42</v>
      </c>
    </row>
    <row r="1491" spans="1:8" x14ac:dyDescent="0.2">
      <c r="A1491" s="129" t="s">
        <v>1404</v>
      </c>
      <c r="H1491" s="132">
        <v>5573.82</v>
      </c>
    </row>
    <row r="1492" spans="1:8" x14ac:dyDescent="0.2">
      <c r="A1492" s="129" t="s">
        <v>1695</v>
      </c>
    </row>
    <row r="1493" spans="1:8" x14ac:dyDescent="0.2">
      <c r="B1493" s="135" t="s">
        <v>1566</v>
      </c>
      <c r="C1493" s="135" t="s">
        <v>3</v>
      </c>
      <c r="D1493" s="135"/>
      <c r="E1493" s="135" t="s">
        <v>1952</v>
      </c>
      <c r="F1493" s="135" t="s">
        <v>5</v>
      </c>
      <c r="G1493" s="135" t="s">
        <v>1151</v>
      </c>
      <c r="H1493" s="131">
        <v>177.49</v>
      </c>
    </row>
    <row r="1494" spans="1:8" x14ac:dyDescent="0.2">
      <c r="B1494" s="135" t="s">
        <v>1484</v>
      </c>
      <c r="C1494" s="135" t="s">
        <v>102</v>
      </c>
      <c r="D1494" s="135"/>
      <c r="E1494" s="135" t="s">
        <v>1556</v>
      </c>
      <c r="F1494" s="135" t="s">
        <v>5</v>
      </c>
      <c r="G1494" s="135" t="s">
        <v>1151</v>
      </c>
      <c r="H1494" s="131">
        <v>579.30999999999995</v>
      </c>
    </row>
    <row r="1495" spans="1:8" x14ac:dyDescent="0.2">
      <c r="B1495" s="135" t="s">
        <v>2113</v>
      </c>
      <c r="C1495" s="135" t="s">
        <v>3</v>
      </c>
      <c r="D1495" s="135"/>
      <c r="E1495" s="135" t="s">
        <v>2194</v>
      </c>
      <c r="F1495" s="135" t="s">
        <v>5</v>
      </c>
      <c r="G1495" s="135"/>
      <c r="H1495" s="131">
        <v>1006.94</v>
      </c>
    </row>
    <row r="1496" spans="1:8" x14ac:dyDescent="0.2">
      <c r="A1496" s="129" t="s">
        <v>1696</v>
      </c>
      <c r="H1496" s="132">
        <v>1763.74</v>
      </c>
    </row>
    <row r="1497" spans="1:8" x14ac:dyDescent="0.2">
      <c r="A1497" s="129" t="s">
        <v>1072</v>
      </c>
      <c r="H1497" s="132">
        <v>21499.31</v>
      </c>
    </row>
    <row r="1498" spans="1:8" x14ac:dyDescent="0.2">
      <c r="A1498" s="129" t="s">
        <v>561</v>
      </c>
      <c r="H1498" s="132">
        <v>51944</v>
      </c>
    </row>
    <row r="1499" spans="1:8" x14ac:dyDescent="0.2">
      <c r="A1499" s="129" t="s">
        <v>562</v>
      </c>
      <c r="H1499" s="132">
        <v>354514.63</v>
      </c>
    </row>
    <row r="1500" spans="1:8" x14ac:dyDescent="0.2">
      <c r="A1500" s="129" t="s">
        <v>380</v>
      </c>
      <c r="H1500" s="132">
        <v>354514.63</v>
      </c>
    </row>
    <row r="1501" spans="1:8" x14ac:dyDescent="0.2">
      <c r="A1501" s="129" t="s">
        <v>1217</v>
      </c>
      <c r="H1501" s="132">
        <v>-45829.03</v>
      </c>
    </row>
    <row r="1502" spans="1:8" x14ac:dyDescent="0.2">
      <c r="A1502" s="129" t="s">
        <v>489</v>
      </c>
    </row>
    <row r="1503" spans="1:8" x14ac:dyDescent="0.2">
      <c r="A1503" s="129" t="s">
        <v>490</v>
      </c>
    </row>
    <row r="1504" spans="1:8" x14ac:dyDescent="0.2">
      <c r="A1504" s="129" t="s">
        <v>2315</v>
      </c>
    </row>
    <row r="1505" spans="1:8" x14ac:dyDescent="0.2">
      <c r="B1505" s="135" t="s">
        <v>2548</v>
      </c>
      <c r="C1505" s="135" t="s">
        <v>339</v>
      </c>
      <c r="D1505" s="135" t="s">
        <v>2598</v>
      </c>
      <c r="E1505" s="135"/>
      <c r="F1505" s="135" t="s">
        <v>5</v>
      </c>
      <c r="G1505" s="135" t="s">
        <v>2317</v>
      </c>
      <c r="H1505" s="131">
        <v>180</v>
      </c>
    </row>
    <row r="1506" spans="1:8" x14ac:dyDescent="0.2">
      <c r="A1506" s="129" t="s">
        <v>2318</v>
      </c>
      <c r="H1506" s="132">
        <v>180</v>
      </c>
    </row>
    <row r="1507" spans="1:8" x14ac:dyDescent="0.2">
      <c r="A1507" s="129" t="s">
        <v>1218</v>
      </c>
    </row>
    <row r="1508" spans="1:8" x14ac:dyDescent="0.2">
      <c r="A1508" s="129" t="s">
        <v>1219</v>
      </c>
    </row>
    <row r="1509" spans="1:8" x14ac:dyDescent="0.2">
      <c r="B1509" s="135" t="s">
        <v>1168</v>
      </c>
      <c r="C1509" s="135" t="s">
        <v>339</v>
      </c>
      <c r="D1509" s="135" t="s">
        <v>1222</v>
      </c>
      <c r="E1509" s="135"/>
      <c r="F1509" s="135" t="s">
        <v>5</v>
      </c>
      <c r="G1509" s="135" t="s">
        <v>1221</v>
      </c>
      <c r="H1509" s="131">
        <v>5059.08</v>
      </c>
    </row>
    <row r="1510" spans="1:8" x14ac:dyDescent="0.2">
      <c r="B1510" s="135" t="s">
        <v>1168</v>
      </c>
      <c r="C1510" s="135" t="s">
        <v>339</v>
      </c>
      <c r="D1510" s="135" t="s">
        <v>1220</v>
      </c>
      <c r="E1510" s="135"/>
      <c r="F1510" s="135" t="s">
        <v>5</v>
      </c>
      <c r="G1510" s="135" t="s">
        <v>1221</v>
      </c>
      <c r="H1510" s="131">
        <v>2955.92</v>
      </c>
    </row>
    <row r="1511" spans="1:8" x14ac:dyDescent="0.2">
      <c r="B1511" s="135" t="s">
        <v>1624</v>
      </c>
      <c r="C1511" s="135" t="s">
        <v>339</v>
      </c>
      <c r="D1511" s="135" t="s">
        <v>1698</v>
      </c>
      <c r="E1511" s="135"/>
      <c r="F1511" s="135" t="s">
        <v>5</v>
      </c>
      <c r="G1511" s="135" t="s">
        <v>1221</v>
      </c>
      <c r="H1511" s="131">
        <v>856.33</v>
      </c>
    </row>
    <row r="1512" spans="1:8" x14ac:dyDescent="0.2">
      <c r="B1512" s="135" t="s">
        <v>1624</v>
      </c>
      <c r="C1512" s="135" t="s">
        <v>339</v>
      </c>
      <c r="D1512" s="135" t="s">
        <v>1697</v>
      </c>
      <c r="E1512" s="135"/>
      <c r="F1512" s="135" t="s">
        <v>5</v>
      </c>
      <c r="G1512" s="135" t="s">
        <v>1221</v>
      </c>
      <c r="H1512" s="131">
        <v>1465.58</v>
      </c>
    </row>
    <row r="1513" spans="1:8" x14ac:dyDescent="0.2">
      <c r="B1513" s="135" t="s">
        <v>2240</v>
      </c>
      <c r="C1513" s="135" t="s">
        <v>339</v>
      </c>
      <c r="D1513" s="135" t="s">
        <v>2294</v>
      </c>
      <c r="E1513" s="135"/>
      <c r="F1513" s="135" t="s">
        <v>5</v>
      </c>
      <c r="G1513" s="135" t="s">
        <v>2293</v>
      </c>
      <c r="H1513" s="131">
        <v>233.2</v>
      </c>
    </row>
    <row r="1514" spans="1:8" x14ac:dyDescent="0.2">
      <c r="B1514" s="135" t="s">
        <v>2240</v>
      </c>
      <c r="C1514" s="135" t="s">
        <v>339</v>
      </c>
      <c r="D1514" s="135" t="s">
        <v>2292</v>
      </c>
      <c r="E1514" s="135"/>
      <c r="F1514" s="135" t="s">
        <v>5</v>
      </c>
      <c r="G1514" s="135" t="s">
        <v>2293</v>
      </c>
      <c r="H1514" s="131">
        <v>4918.45</v>
      </c>
    </row>
    <row r="1515" spans="1:8" x14ac:dyDescent="0.2">
      <c r="A1515" s="129" t="s">
        <v>1223</v>
      </c>
      <c r="H1515" s="132">
        <v>15488.56</v>
      </c>
    </row>
    <row r="1516" spans="1:8" x14ac:dyDescent="0.2">
      <c r="A1516" s="129" t="s">
        <v>1224</v>
      </c>
    </row>
    <row r="1517" spans="1:8" x14ac:dyDescent="0.2">
      <c r="B1517" s="135" t="s">
        <v>1168</v>
      </c>
      <c r="C1517" s="135" t="s">
        <v>339</v>
      </c>
      <c r="D1517" s="135" t="s">
        <v>1222</v>
      </c>
      <c r="E1517" s="135"/>
      <c r="F1517" s="135" t="s">
        <v>5</v>
      </c>
      <c r="G1517" s="135" t="s">
        <v>1221</v>
      </c>
      <c r="H1517" s="131">
        <v>0</v>
      </c>
    </row>
    <row r="1518" spans="1:8" x14ac:dyDescent="0.2">
      <c r="A1518" s="129" t="s">
        <v>1225</v>
      </c>
      <c r="H1518" s="132">
        <v>0</v>
      </c>
    </row>
    <row r="1519" spans="1:8" x14ac:dyDescent="0.2">
      <c r="A1519" s="129" t="s">
        <v>1226</v>
      </c>
      <c r="H1519" s="132">
        <v>15488.56</v>
      </c>
    </row>
    <row r="1520" spans="1:8" x14ac:dyDescent="0.2">
      <c r="A1520" s="129" t="s">
        <v>495</v>
      </c>
      <c r="H1520" s="132">
        <v>15668.56</v>
      </c>
    </row>
    <row r="1521" spans="1:8" x14ac:dyDescent="0.2">
      <c r="A1521" s="129" t="s">
        <v>11</v>
      </c>
      <c r="H1521" s="132">
        <v>15668.56</v>
      </c>
    </row>
    <row r="1522" spans="1:8" x14ac:dyDescent="0.2">
      <c r="A1522" s="129" t="s">
        <v>4</v>
      </c>
      <c r="H1522" s="132">
        <v>-30160.47</v>
      </c>
    </row>
    <row r="1525" spans="1:8" x14ac:dyDescent="0.2">
      <c r="A1525" s="334" t="s">
        <v>2779</v>
      </c>
      <c r="B1525" s="335"/>
      <c r="C1525" s="335"/>
      <c r="D1525" s="335"/>
      <c r="E1525" s="335"/>
      <c r="F1525" s="335"/>
      <c r="G1525" s="335"/>
      <c r="H1525" s="335"/>
    </row>
  </sheetData>
  <mergeCells count="4">
    <mergeCell ref="A1525:H1525"/>
    <mergeCell ref="A1:H1"/>
    <mergeCell ref="A2:H2"/>
    <mergeCell ref="A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B0E31-1908-4F0F-83CE-02FEB49C7493}">
  <dimension ref="A1:C154"/>
  <sheetViews>
    <sheetView workbookViewId="0">
      <pane ySplit="6" topLeftCell="A7" activePane="bottomLeft" state="frozen"/>
      <selection pane="bottomLeft" sqref="A1:C1"/>
    </sheetView>
  </sheetViews>
  <sheetFormatPr baseColWidth="10" defaultColWidth="8.83203125" defaultRowHeight="15" x14ac:dyDescent="0.2"/>
  <cols>
    <col min="1" max="1" width="55" customWidth="1"/>
    <col min="2" max="3" width="12" customWidth="1"/>
  </cols>
  <sheetData>
    <row r="1" spans="1:3" ht="18" x14ac:dyDescent="0.2">
      <c r="A1" s="336" t="s">
        <v>64</v>
      </c>
      <c r="B1" s="335"/>
      <c r="C1" s="335"/>
    </row>
    <row r="2" spans="1:3" ht="18" x14ac:dyDescent="0.2">
      <c r="A2" s="336" t="s">
        <v>551</v>
      </c>
      <c r="B2" s="335"/>
      <c r="C2" s="335"/>
    </row>
    <row r="3" spans="1:3" x14ac:dyDescent="0.2">
      <c r="A3" s="337" t="s">
        <v>2680</v>
      </c>
      <c r="B3" s="335"/>
      <c r="C3" s="335"/>
    </row>
    <row r="5" spans="1:3" x14ac:dyDescent="0.2">
      <c r="A5" s="11"/>
      <c r="B5" s="338" t="s">
        <v>501</v>
      </c>
      <c r="C5" s="339"/>
    </row>
    <row r="6" spans="1:3" ht="27" x14ac:dyDescent="0.2">
      <c r="A6" s="11"/>
      <c r="B6" s="128" t="s">
        <v>2685</v>
      </c>
      <c r="C6" s="128" t="s">
        <v>2686</v>
      </c>
    </row>
    <row r="7" spans="1:3" x14ac:dyDescent="0.2">
      <c r="A7" s="129" t="s">
        <v>95</v>
      </c>
      <c r="B7" s="130"/>
      <c r="C7" s="130"/>
    </row>
    <row r="8" spans="1:3" x14ac:dyDescent="0.2">
      <c r="A8" s="129" t="s">
        <v>158</v>
      </c>
      <c r="B8" s="130"/>
      <c r="C8" s="130"/>
    </row>
    <row r="9" spans="1:3" x14ac:dyDescent="0.2">
      <c r="A9" s="129" t="s">
        <v>159</v>
      </c>
      <c r="B9" s="130"/>
      <c r="C9" s="130"/>
    </row>
    <row r="10" spans="1:3" x14ac:dyDescent="0.2">
      <c r="A10" s="129" t="s">
        <v>572</v>
      </c>
      <c r="B10" s="131">
        <f>86570.93</f>
        <v>86570.93</v>
      </c>
      <c r="C10" s="131">
        <f>122577.34</f>
        <v>122577.34</v>
      </c>
    </row>
    <row r="11" spans="1:3" x14ac:dyDescent="0.2">
      <c r="A11" s="129" t="s">
        <v>616</v>
      </c>
      <c r="B11" s="131">
        <f>0</f>
        <v>0</v>
      </c>
      <c r="C11" s="131">
        <f>0</f>
        <v>0</v>
      </c>
    </row>
    <row r="12" spans="1:3" x14ac:dyDescent="0.2">
      <c r="A12" s="129" t="s">
        <v>160</v>
      </c>
      <c r="B12" s="131">
        <f>27831.26</f>
        <v>27831.26</v>
      </c>
      <c r="C12" s="131">
        <f>77819.04</f>
        <v>77819.039999999994</v>
      </c>
    </row>
    <row r="13" spans="1:3" x14ac:dyDescent="0.2">
      <c r="A13" s="129" t="s">
        <v>161</v>
      </c>
      <c r="B13" s="131">
        <f>0</f>
        <v>0</v>
      </c>
      <c r="C13" s="131">
        <f>0</f>
        <v>0</v>
      </c>
    </row>
    <row r="14" spans="1:3" x14ac:dyDescent="0.2">
      <c r="A14" s="129" t="s">
        <v>573</v>
      </c>
      <c r="B14" s="131">
        <f>41926.67</f>
        <v>41926.67</v>
      </c>
      <c r="C14" s="131">
        <f>34184.73</f>
        <v>34184.730000000003</v>
      </c>
    </row>
    <row r="15" spans="1:3" x14ac:dyDescent="0.2">
      <c r="A15" s="129" t="s">
        <v>574</v>
      </c>
      <c r="B15" s="131">
        <f>55149.64</f>
        <v>55149.64</v>
      </c>
      <c r="C15" s="131">
        <f>109132.03</f>
        <v>109132.03</v>
      </c>
    </row>
    <row r="16" spans="1:3" x14ac:dyDescent="0.2">
      <c r="A16" s="129" t="s">
        <v>617</v>
      </c>
      <c r="B16" s="131">
        <f>0</f>
        <v>0</v>
      </c>
      <c r="C16" s="131">
        <f>0</f>
        <v>0</v>
      </c>
    </row>
    <row r="17" spans="1:3" x14ac:dyDescent="0.2">
      <c r="A17" s="129" t="s">
        <v>618</v>
      </c>
      <c r="B17" s="131">
        <f>0</f>
        <v>0</v>
      </c>
      <c r="C17" s="131">
        <f>0</f>
        <v>0</v>
      </c>
    </row>
    <row r="18" spans="1:3" x14ac:dyDescent="0.2">
      <c r="A18" s="129" t="s">
        <v>619</v>
      </c>
      <c r="B18" s="131">
        <f>0</f>
        <v>0</v>
      </c>
      <c r="C18" s="131">
        <f>0</f>
        <v>0</v>
      </c>
    </row>
    <row r="19" spans="1:3" x14ac:dyDescent="0.2">
      <c r="A19" s="129" t="s">
        <v>162</v>
      </c>
      <c r="B19" s="130"/>
      <c r="C19" s="130"/>
    </row>
    <row r="20" spans="1:3" x14ac:dyDescent="0.2">
      <c r="A20" s="129" t="s">
        <v>163</v>
      </c>
      <c r="B20" s="131">
        <f>179.99</f>
        <v>179.99</v>
      </c>
      <c r="C20" s="131">
        <f>215.99</f>
        <v>215.99</v>
      </c>
    </row>
    <row r="21" spans="1:3" x14ac:dyDescent="0.2">
      <c r="A21" s="129" t="s">
        <v>164</v>
      </c>
      <c r="B21" s="132">
        <f>(B19)+(B20)</f>
        <v>179.99</v>
      </c>
      <c r="C21" s="132">
        <f>(C19)+(C20)</f>
        <v>215.99</v>
      </c>
    </row>
    <row r="22" spans="1:3" x14ac:dyDescent="0.2">
      <c r="A22" s="129" t="s">
        <v>165</v>
      </c>
      <c r="B22" s="132">
        <f>(((((((((B10)+(B11))+(B12))+(B13))+(B14))+(B15))+(B16))+(B17))+(B18))+(B21)</f>
        <v>211658.49</v>
      </c>
      <c r="C22" s="132">
        <f>(((((((((C10)+(C11))+(C12))+(C13))+(C14))+(C15))+(C16))+(C17))+(C18))+(C21)</f>
        <v>343929.13</v>
      </c>
    </row>
    <row r="23" spans="1:3" x14ac:dyDescent="0.2">
      <c r="A23" s="129" t="s">
        <v>166</v>
      </c>
      <c r="B23" s="130"/>
      <c r="C23" s="130"/>
    </row>
    <row r="24" spans="1:3" x14ac:dyDescent="0.2">
      <c r="A24" s="129" t="s">
        <v>167</v>
      </c>
      <c r="B24" s="131">
        <f>45117.05</f>
        <v>45117.05</v>
      </c>
      <c r="C24" s="131">
        <f>10811.5</f>
        <v>10811.5</v>
      </c>
    </row>
    <row r="25" spans="1:3" x14ac:dyDescent="0.2">
      <c r="A25" s="129" t="s">
        <v>168</v>
      </c>
      <c r="B25" s="131">
        <f>0</f>
        <v>0</v>
      </c>
      <c r="C25" s="131">
        <f>0</f>
        <v>0</v>
      </c>
    </row>
    <row r="26" spans="1:3" x14ac:dyDescent="0.2">
      <c r="A26" s="129" t="s">
        <v>169</v>
      </c>
      <c r="B26" s="132">
        <f>(B24)+(B25)</f>
        <v>45117.05</v>
      </c>
      <c r="C26" s="132">
        <f>(C24)+(C25)</f>
        <v>10811.5</v>
      </c>
    </row>
    <row r="27" spans="1:3" x14ac:dyDescent="0.2">
      <c r="A27" s="129" t="s">
        <v>170</v>
      </c>
      <c r="B27" s="130"/>
      <c r="C27" s="130"/>
    </row>
    <row r="28" spans="1:3" x14ac:dyDescent="0.2">
      <c r="A28" s="129" t="s">
        <v>171</v>
      </c>
      <c r="B28" s="131">
        <f>758.34</f>
        <v>758.34</v>
      </c>
      <c r="C28" s="131">
        <f>0</f>
        <v>0</v>
      </c>
    </row>
    <row r="29" spans="1:3" x14ac:dyDescent="0.2">
      <c r="A29" s="129" t="s">
        <v>806</v>
      </c>
      <c r="B29" s="131">
        <f>0</f>
        <v>0</v>
      </c>
      <c r="C29" s="131">
        <f>0</f>
        <v>0</v>
      </c>
    </row>
    <row r="30" spans="1:3" x14ac:dyDescent="0.2">
      <c r="A30" s="129" t="s">
        <v>172</v>
      </c>
      <c r="B30" s="131">
        <f>2972.33</f>
        <v>2972.33</v>
      </c>
      <c r="C30" s="131">
        <f>2972.33</f>
        <v>2972.33</v>
      </c>
    </row>
    <row r="31" spans="1:3" x14ac:dyDescent="0.2">
      <c r="A31" s="129" t="s">
        <v>173</v>
      </c>
      <c r="B31" s="131">
        <f>0</f>
        <v>0</v>
      </c>
      <c r="C31" s="131">
        <f>0</f>
        <v>0</v>
      </c>
    </row>
    <row r="32" spans="1:3" x14ac:dyDescent="0.2">
      <c r="A32" s="129" t="s">
        <v>174</v>
      </c>
      <c r="B32" s="132">
        <f>(((B28)+(B29))+(B30))+(B31)</f>
        <v>3730.67</v>
      </c>
      <c r="C32" s="132">
        <f>(((C28)+(C29))+(C30))+(C31)</f>
        <v>2972.33</v>
      </c>
    </row>
    <row r="33" spans="1:3" x14ac:dyDescent="0.2">
      <c r="A33" s="129" t="s">
        <v>175</v>
      </c>
      <c r="B33" s="132">
        <f>((B22)+(B26))+(B32)</f>
        <v>260506.21</v>
      </c>
      <c r="C33" s="132">
        <f>((C22)+(C26))+(C32)</f>
        <v>357712.96</v>
      </c>
    </row>
    <row r="34" spans="1:3" x14ac:dyDescent="0.2">
      <c r="A34" s="129" t="s">
        <v>176</v>
      </c>
      <c r="B34" s="130"/>
      <c r="C34" s="130"/>
    </row>
    <row r="35" spans="1:3" x14ac:dyDescent="0.2">
      <c r="A35" s="129" t="s">
        <v>177</v>
      </c>
      <c r="B35" s="130"/>
      <c r="C35" s="130"/>
    </row>
    <row r="36" spans="1:3" x14ac:dyDescent="0.2">
      <c r="A36" s="129" t="s">
        <v>178</v>
      </c>
      <c r="B36" s="130"/>
      <c r="C36" s="130"/>
    </row>
    <row r="37" spans="1:3" x14ac:dyDescent="0.2">
      <c r="A37" s="129" t="s">
        <v>179</v>
      </c>
      <c r="B37" s="131">
        <f>0</f>
        <v>0</v>
      </c>
      <c r="C37" s="131">
        <f>0</f>
        <v>0</v>
      </c>
    </row>
    <row r="38" spans="1:3" x14ac:dyDescent="0.2">
      <c r="A38" s="129" t="s">
        <v>180</v>
      </c>
      <c r="B38" s="131">
        <f>0</f>
        <v>0</v>
      </c>
      <c r="C38" s="131">
        <f>0</f>
        <v>0</v>
      </c>
    </row>
    <row r="39" spans="1:3" x14ac:dyDescent="0.2">
      <c r="A39" s="129" t="s">
        <v>181</v>
      </c>
      <c r="B39" s="131">
        <f>0</f>
        <v>0</v>
      </c>
      <c r="C39" s="131">
        <f>0</f>
        <v>0</v>
      </c>
    </row>
    <row r="40" spans="1:3" x14ac:dyDescent="0.2">
      <c r="A40" s="129" t="s">
        <v>620</v>
      </c>
      <c r="B40" s="131">
        <f>0</f>
        <v>0</v>
      </c>
      <c r="C40" s="131">
        <f>0</f>
        <v>0</v>
      </c>
    </row>
    <row r="41" spans="1:3" x14ac:dyDescent="0.2">
      <c r="A41" s="129" t="s">
        <v>182</v>
      </c>
      <c r="B41" s="132">
        <f>((((B36)+(B37))+(B38))+(B39))+(B40)</f>
        <v>0</v>
      </c>
      <c r="C41" s="132">
        <f>((((C36)+(C37))+(C38))+(C39))+(C40)</f>
        <v>0</v>
      </c>
    </row>
    <row r="42" spans="1:3" x14ac:dyDescent="0.2">
      <c r="A42" s="129" t="s">
        <v>183</v>
      </c>
      <c r="B42" s="130"/>
      <c r="C42" s="130"/>
    </row>
    <row r="43" spans="1:3" x14ac:dyDescent="0.2">
      <c r="A43" s="129" t="s">
        <v>184</v>
      </c>
      <c r="B43" s="131">
        <f>0</f>
        <v>0</v>
      </c>
      <c r="C43" s="131">
        <f>0</f>
        <v>0</v>
      </c>
    </row>
    <row r="44" spans="1:3" x14ac:dyDescent="0.2">
      <c r="A44" s="129" t="s">
        <v>185</v>
      </c>
      <c r="B44" s="131">
        <f>0</f>
        <v>0</v>
      </c>
      <c r="C44" s="131">
        <f>0</f>
        <v>0</v>
      </c>
    </row>
    <row r="45" spans="1:3" x14ac:dyDescent="0.2">
      <c r="A45" s="129" t="s">
        <v>186</v>
      </c>
      <c r="B45" s="131">
        <f>0</f>
        <v>0</v>
      </c>
      <c r="C45" s="131">
        <f>0</f>
        <v>0</v>
      </c>
    </row>
    <row r="46" spans="1:3" x14ac:dyDescent="0.2">
      <c r="A46" s="129" t="s">
        <v>187</v>
      </c>
      <c r="B46" s="131">
        <f>0</f>
        <v>0</v>
      </c>
      <c r="C46" s="131">
        <f>0</f>
        <v>0</v>
      </c>
    </row>
    <row r="47" spans="1:3" x14ac:dyDescent="0.2">
      <c r="A47" s="129" t="s">
        <v>188</v>
      </c>
      <c r="B47" s="132">
        <f>((((B42)+(B43))+(B44))+(B45))+(B46)</f>
        <v>0</v>
      </c>
      <c r="C47" s="132">
        <f>((((C42)+(C43))+(C44))+(C45))+(C46)</f>
        <v>0</v>
      </c>
    </row>
    <row r="48" spans="1:3" x14ac:dyDescent="0.2">
      <c r="A48" s="129" t="s">
        <v>189</v>
      </c>
      <c r="B48" s="130"/>
      <c r="C48" s="130"/>
    </row>
    <row r="49" spans="1:3" x14ac:dyDescent="0.2">
      <c r="A49" s="129" t="s">
        <v>190</v>
      </c>
      <c r="B49" s="131">
        <f>681764.33</f>
        <v>681764.33</v>
      </c>
      <c r="C49" s="131">
        <f>681764.33</f>
        <v>681764.33</v>
      </c>
    </row>
    <row r="50" spans="1:3" x14ac:dyDescent="0.2">
      <c r="A50" s="129" t="s">
        <v>191</v>
      </c>
      <c r="B50" s="131">
        <f>889000</f>
        <v>889000</v>
      </c>
      <c r="C50" s="131">
        <f>889000</f>
        <v>889000</v>
      </c>
    </row>
    <row r="51" spans="1:3" x14ac:dyDescent="0.2">
      <c r="A51" s="129" t="s">
        <v>192</v>
      </c>
      <c r="B51" s="131">
        <f>754792.69</f>
        <v>754792.69</v>
      </c>
      <c r="C51" s="131">
        <f>754792.69</f>
        <v>754792.69</v>
      </c>
    </row>
    <row r="52" spans="1:3" x14ac:dyDescent="0.2">
      <c r="A52" s="129" t="s">
        <v>193</v>
      </c>
      <c r="B52" s="131">
        <f>31751.55</f>
        <v>31751.55</v>
      </c>
      <c r="C52" s="131">
        <f>31751.55</f>
        <v>31751.55</v>
      </c>
    </row>
    <row r="53" spans="1:3" x14ac:dyDescent="0.2">
      <c r="A53" s="129" t="s">
        <v>1141</v>
      </c>
      <c r="B53" s="131">
        <f>0</f>
        <v>0</v>
      </c>
      <c r="C53" s="131">
        <f>0</f>
        <v>0</v>
      </c>
    </row>
    <row r="54" spans="1:3" x14ac:dyDescent="0.2">
      <c r="A54" s="129" t="s">
        <v>194</v>
      </c>
      <c r="B54" s="131">
        <f>54758.03</f>
        <v>54758.03</v>
      </c>
      <c r="C54" s="131">
        <f>54758.03</f>
        <v>54758.03</v>
      </c>
    </row>
    <row r="55" spans="1:3" x14ac:dyDescent="0.2">
      <c r="A55" s="129" t="s">
        <v>195</v>
      </c>
      <c r="B55" s="131">
        <f>50676.4</f>
        <v>50676.4</v>
      </c>
      <c r="C55" s="131">
        <f>50676.4</f>
        <v>50676.4</v>
      </c>
    </row>
    <row r="56" spans="1:3" x14ac:dyDescent="0.2">
      <c r="A56" s="129" t="s">
        <v>196</v>
      </c>
      <c r="B56" s="132">
        <f>((B53)+(B54))+(B55)</f>
        <v>105434.43</v>
      </c>
      <c r="C56" s="132">
        <f>((C53)+(C54))+(C55)</f>
        <v>105434.43</v>
      </c>
    </row>
    <row r="57" spans="1:3" x14ac:dyDescent="0.2">
      <c r="A57" s="129" t="s">
        <v>197</v>
      </c>
      <c r="B57" s="132">
        <f>(((((B48)+(B49))+(B50))+(B51))+(B52))+(B56)</f>
        <v>2462743</v>
      </c>
      <c r="C57" s="132">
        <f>(((((C48)+(C49))+(C50))+(C51))+(C52))+(C56)</f>
        <v>2462743</v>
      </c>
    </row>
    <row r="58" spans="1:3" x14ac:dyDescent="0.2">
      <c r="A58" s="129" t="s">
        <v>198</v>
      </c>
      <c r="B58" s="130"/>
      <c r="C58" s="130"/>
    </row>
    <row r="59" spans="1:3" x14ac:dyDescent="0.2">
      <c r="A59" s="129" t="s">
        <v>199</v>
      </c>
      <c r="B59" s="131">
        <f>-220142.84</f>
        <v>-220142.84</v>
      </c>
      <c r="C59" s="131">
        <f>-220142.84</f>
        <v>-220142.84</v>
      </c>
    </row>
    <row r="60" spans="1:3" x14ac:dyDescent="0.2">
      <c r="A60" s="129" t="s">
        <v>621</v>
      </c>
      <c r="B60" s="131">
        <f>-229209.74</f>
        <v>-229209.74</v>
      </c>
      <c r="C60" s="131">
        <f>-229209.74</f>
        <v>-229209.74</v>
      </c>
    </row>
    <row r="61" spans="1:3" x14ac:dyDescent="0.2">
      <c r="A61" s="129" t="s">
        <v>502</v>
      </c>
      <c r="B61" s="131">
        <f>-4762.74</f>
        <v>-4762.74</v>
      </c>
      <c r="C61" s="131">
        <f>-4762.74</f>
        <v>-4762.74</v>
      </c>
    </row>
    <row r="62" spans="1:3" x14ac:dyDescent="0.2">
      <c r="A62" s="129" t="s">
        <v>200</v>
      </c>
      <c r="B62" s="130"/>
      <c r="C62" s="130"/>
    </row>
    <row r="63" spans="1:3" x14ac:dyDescent="0.2">
      <c r="A63" s="129" t="s">
        <v>201</v>
      </c>
      <c r="B63" s="131">
        <f>-29335.77</f>
        <v>-29335.77</v>
      </c>
      <c r="C63" s="131">
        <f>-29335.77</f>
        <v>-29335.77</v>
      </c>
    </row>
    <row r="64" spans="1:3" x14ac:dyDescent="0.2">
      <c r="A64" s="129" t="s">
        <v>202</v>
      </c>
      <c r="B64" s="131">
        <f>-44580.23</f>
        <v>-44580.23</v>
      </c>
      <c r="C64" s="131">
        <f>-44580.23</f>
        <v>-44580.23</v>
      </c>
    </row>
    <row r="65" spans="1:3" x14ac:dyDescent="0.2">
      <c r="A65" s="129" t="s">
        <v>203</v>
      </c>
      <c r="B65" s="132">
        <f>((B62)+(B63))+(B64)</f>
        <v>-73916</v>
      </c>
      <c r="C65" s="132">
        <f>((C62)+(C63))+(C64)</f>
        <v>-73916</v>
      </c>
    </row>
    <row r="66" spans="1:3" x14ac:dyDescent="0.2">
      <c r="A66" s="129" t="s">
        <v>204</v>
      </c>
      <c r="B66" s="132">
        <f>((((B58)+(B59))+(B60))+(B61))+(B65)</f>
        <v>-528031.31999999995</v>
      </c>
      <c r="C66" s="132">
        <f>((((C58)+(C59))+(C60))+(C61))+(C65)</f>
        <v>-528031.31999999995</v>
      </c>
    </row>
    <row r="67" spans="1:3" x14ac:dyDescent="0.2">
      <c r="A67" s="129" t="s">
        <v>205</v>
      </c>
      <c r="B67" s="132">
        <f>((((B35)+(B41))+(B47))+(B57))+(B66)</f>
        <v>1934711.6800000002</v>
      </c>
      <c r="C67" s="132">
        <f>((((C35)+(C41))+(C47))+(C57))+(C66)</f>
        <v>1934711.6800000002</v>
      </c>
    </row>
    <row r="68" spans="1:3" x14ac:dyDescent="0.2">
      <c r="A68" s="129" t="s">
        <v>206</v>
      </c>
      <c r="B68" s="132">
        <f>B67</f>
        <v>1934711.6800000002</v>
      </c>
      <c r="C68" s="132">
        <f>C67</f>
        <v>1934711.6800000002</v>
      </c>
    </row>
    <row r="69" spans="1:3" x14ac:dyDescent="0.2">
      <c r="A69" s="129" t="s">
        <v>207</v>
      </c>
      <c r="B69" s="130"/>
      <c r="C69" s="130"/>
    </row>
    <row r="70" spans="1:3" x14ac:dyDescent="0.2">
      <c r="A70" s="129" t="s">
        <v>208</v>
      </c>
      <c r="B70" s="130"/>
      <c r="C70" s="130"/>
    </row>
    <row r="71" spans="1:3" x14ac:dyDescent="0.2">
      <c r="A71" s="129" t="s">
        <v>622</v>
      </c>
      <c r="B71" s="131">
        <f>0</f>
        <v>0</v>
      </c>
      <c r="C71" s="131">
        <f>0</f>
        <v>0</v>
      </c>
    </row>
    <row r="72" spans="1:3" x14ac:dyDescent="0.2">
      <c r="A72" s="129" t="s">
        <v>623</v>
      </c>
      <c r="B72" s="131">
        <f>0</f>
        <v>0</v>
      </c>
      <c r="C72" s="131">
        <f>0</f>
        <v>0</v>
      </c>
    </row>
    <row r="73" spans="1:3" x14ac:dyDescent="0.2">
      <c r="A73" s="129" t="s">
        <v>624</v>
      </c>
      <c r="B73" s="131">
        <f>0</f>
        <v>0</v>
      </c>
      <c r="C73" s="131">
        <f>0</f>
        <v>0</v>
      </c>
    </row>
    <row r="74" spans="1:3" x14ac:dyDescent="0.2">
      <c r="A74" s="129" t="s">
        <v>625</v>
      </c>
      <c r="B74" s="131">
        <f>0</f>
        <v>0</v>
      </c>
      <c r="C74" s="131">
        <f>0</f>
        <v>0</v>
      </c>
    </row>
    <row r="75" spans="1:3" x14ac:dyDescent="0.2">
      <c r="A75" s="129" t="s">
        <v>626</v>
      </c>
      <c r="B75" s="131">
        <f>0</f>
        <v>0</v>
      </c>
      <c r="C75" s="131">
        <f>0</f>
        <v>0</v>
      </c>
    </row>
    <row r="76" spans="1:3" x14ac:dyDescent="0.2">
      <c r="A76" s="129" t="s">
        <v>627</v>
      </c>
      <c r="B76" s="132">
        <f>(((B72)+(B73))+(B74))+(B75)</f>
        <v>0</v>
      </c>
      <c r="C76" s="132">
        <f>(((C72)+(C73))+(C74))+(C75)</f>
        <v>0</v>
      </c>
    </row>
    <row r="77" spans="1:3" x14ac:dyDescent="0.2">
      <c r="A77" s="129" t="s">
        <v>628</v>
      </c>
      <c r="B77" s="131">
        <f>0</f>
        <v>0</v>
      </c>
      <c r="C77" s="131">
        <f>0</f>
        <v>0</v>
      </c>
    </row>
    <row r="78" spans="1:3" x14ac:dyDescent="0.2">
      <c r="A78" s="129" t="s">
        <v>209</v>
      </c>
      <c r="B78" s="131">
        <f>56909.56</f>
        <v>56909.56</v>
      </c>
      <c r="C78" s="131">
        <f>50137.95</f>
        <v>50137.95</v>
      </c>
    </row>
    <row r="79" spans="1:3" x14ac:dyDescent="0.2">
      <c r="A79" s="129" t="s">
        <v>210</v>
      </c>
      <c r="B79" s="131">
        <f>104034.72</f>
        <v>104034.72</v>
      </c>
      <c r="C79" s="131">
        <f>91655.76</f>
        <v>91655.76</v>
      </c>
    </row>
    <row r="80" spans="1:3" x14ac:dyDescent="0.2">
      <c r="A80" s="129" t="s">
        <v>786</v>
      </c>
      <c r="B80" s="131">
        <f>60785.57</f>
        <v>60785.57</v>
      </c>
      <c r="C80" s="131">
        <f>53552.8</f>
        <v>53552.800000000003</v>
      </c>
    </row>
    <row r="81" spans="1:3" x14ac:dyDescent="0.2">
      <c r="A81" s="129" t="s">
        <v>211</v>
      </c>
      <c r="B81" s="131">
        <f>20481.59</f>
        <v>20481.59</v>
      </c>
      <c r="C81" s="131">
        <f>20481.59</f>
        <v>20481.59</v>
      </c>
    </row>
    <row r="82" spans="1:3" x14ac:dyDescent="0.2">
      <c r="A82" s="129" t="s">
        <v>212</v>
      </c>
      <c r="B82" s="132">
        <f>(((((((B70)+(B71))+(B76))+(B77))+(B78))+(B79))+(B80))+(B81)</f>
        <v>242211.44</v>
      </c>
      <c r="C82" s="132">
        <f>(((((((C70)+(C71))+(C76))+(C77))+(C78))+(C79))+(C80))+(C81)</f>
        <v>215828.1</v>
      </c>
    </row>
    <row r="83" spans="1:3" x14ac:dyDescent="0.2">
      <c r="A83" s="129" t="s">
        <v>794</v>
      </c>
      <c r="B83" s="131">
        <f>0</f>
        <v>0</v>
      </c>
      <c r="C83" s="131">
        <f>0</f>
        <v>0</v>
      </c>
    </row>
    <row r="84" spans="1:3" x14ac:dyDescent="0.2">
      <c r="A84" s="129" t="s">
        <v>213</v>
      </c>
      <c r="B84" s="132">
        <f>(B82)+(B83)</f>
        <v>242211.44</v>
      </c>
      <c r="C84" s="132">
        <f>(C82)+(C83)</f>
        <v>215828.1</v>
      </c>
    </row>
    <row r="85" spans="1:3" x14ac:dyDescent="0.2">
      <c r="A85" s="129" t="s">
        <v>96</v>
      </c>
      <c r="B85" s="132">
        <f>((B33)+(B68))+(B84)</f>
        <v>2437429.33</v>
      </c>
      <c r="C85" s="132">
        <f>((C33)+(C68))+(C84)</f>
        <v>2508252.7400000002</v>
      </c>
    </row>
    <row r="86" spans="1:3" x14ac:dyDescent="0.2">
      <c r="A86" s="129" t="s">
        <v>214</v>
      </c>
      <c r="B86" s="130"/>
      <c r="C86" s="130"/>
    </row>
    <row r="87" spans="1:3" x14ac:dyDescent="0.2">
      <c r="A87" s="129" t="s">
        <v>215</v>
      </c>
      <c r="B87" s="130"/>
      <c r="C87" s="130"/>
    </row>
    <row r="88" spans="1:3" x14ac:dyDescent="0.2">
      <c r="A88" s="129" t="s">
        <v>216</v>
      </c>
      <c r="B88" s="130"/>
      <c r="C88" s="130"/>
    </row>
    <row r="89" spans="1:3" x14ac:dyDescent="0.2">
      <c r="A89" s="129" t="s">
        <v>217</v>
      </c>
      <c r="B89" s="130"/>
      <c r="C89" s="130"/>
    </row>
    <row r="90" spans="1:3" x14ac:dyDescent="0.2">
      <c r="A90" s="129" t="s">
        <v>218</v>
      </c>
      <c r="B90" s="131">
        <f>8505.04</f>
        <v>8505.0400000000009</v>
      </c>
      <c r="C90" s="131">
        <f>15786.98</f>
        <v>15786.98</v>
      </c>
    </row>
    <row r="91" spans="1:3" x14ac:dyDescent="0.2">
      <c r="A91" s="129" t="s">
        <v>219</v>
      </c>
      <c r="B91" s="132">
        <f>B90</f>
        <v>8505.0400000000009</v>
      </c>
      <c r="C91" s="132">
        <f>C90</f>
        <v>15786.98</v>
      </c>
    </row>
    <row r="92" spans="1:3" x14ac:dyDescent="0.2">
      <c r="A92" s="129" t="s">
        <v>220</v>
      </c>
      <c r="B92" s="130"/>
      <c r="C92" s="130"/>
    </row>
    <row r="93" spans="1:3" x14ac:dyDescent="0.2">
      <c r="A93" s="129" t="s">
        <v>554</v>
      </c>
      <c r="B93" s="130"/>
      <c r="C93" s="130"/>
    </row>
    <row r="94" spans="1:3" x14ac:dyDescent="0.2">
      <c r="A94" s="129" t="s">
        <v>629</v>
      </c>
      <c r="B94" s="131">
        <f>50</f>
        <v>50</v>
      </c>
      <c r="C94" s="131">
        <f>266.93</f>
        <v>266.93</v>
      </c>
    </row>
    <row r="95" spans="1:3" x14ac:dyDescent="0.2">
      <c r="A95" s="129" t="s">
        <v>630</v>
      </c>
      <c r="B95" s="131">
        <f>0</f>
        <v>0</v>
      </c>
      <c r="C95" s="131">
        <f>149.2</f>
        <v>149.19999999999999</v>
      </c>
    </row>
    <row r="96" spans="1:3" x14ac:dyDescent="0.2">
      <c r="A96" s="129" t="s">
        <v>565</v>
      </c>
      <c r="B96" s="131">
        <f>0</f>
        <v>0</v>
      </c>
      <c r="C96" s="131">
        <f>0</f>
        <v>0</v>
      </c>
    </row>
    <row r="97" spans="1:3" x14ac:dyDescent="0.2">
      <c r="A97" s="129" t="s">
        <v>2055</v>
      </c>
      <c r="B97" s="131">
        <f>565</f>
        <v>565</v>
      </c>
      <c r="C97" s="131">
        <f>-95.42</f>
        <v>-95.42</v>
      </c>
    </row>
    <row r="98" spans="1:3" x14ac:dyDescent="0.2">
      <c r="A98" s="129" t="s">
        <v>2335</v>
      </c>
      <c r="B98" s="131">
        <f>227.69</f>
        <v>227.69</v>
      </c>
      <c r="C98" s="131">
        <f>233.91</f>
        <v>233.91</v>
      </c>
    </row>
    <row r="99" spans="1:3" x14ac:dyDescent="0.2">
      <c r="A99" s="129" t="s">
        <v>2336</v>
      </c>
      <c r="B99" s="131">
        <f>1385.35</f>
        <v>1385.35</v>
      </c>
      <c r="C99" s="131">
        <f>0</f>
        <v>0</v>
      </c>
    </row>
    <row r="100" spans="1:3" x14ac:dyDescent="0.2">
      <c r="A100" s="129" t="s">
        <v>555</v>
      </c>
      <c r="B100" s="132">
        <f>((((((B93)+(B94))+(B95))+(B96))+(B97))+(B98))+(B99)</f>
        <v>2228.04</v>
      </c>
      <c r="C100" s="132">
        <f>((((((C93)+(C94))+(C95))+(C96))+(C97))+(C98))+(C99)</f>
        <v>554.62</v>
      </c>
    </row>
    <row r="101" spans="1:3" x14ac:dyDescent="0.2">
      <c r="A101" s="129" t="s">
        <v>221</v>
      </c>
      <c r="B101" s="132">
        <f>B100</f>
        <v>2228.04</v>
      </c>
      <c r="C101" s="132">
        <f>C100</f>
        <v>554.62</v>
      </c>
    </row>
    <row r="102" spans="1:3" x14ac:dyDescent="0.2">
      <c r="A102" s="129" t="s">
        <v>222</v>
      </c>
      <c r="B102" s="130"/>
      <c r="C102" s="130"/>
    </row>
    <row r="103" spans="1:3" x14ac:dyDescent="0.2">
      <c r="A103" s="129" t="s">
        <v>223</v>
      </c>
      <c r="B103" s="131">
        <f>0</f>
        <v>0</v>
      </c>
      <c r="C103" s="131">
        <f>0</f>
        <v>0</v>
      </c>
    </row>
    <row r="104" spans="1:3" x14ac:dyDescent="0.2">
      <c r="A104" s="129" t="s">
        <v>631</v>
      </c>
      <c r="B104" s="131">
        <f>0</f>
        <v>0</v>
      </c>
      <c r="C104" s="131">
        <f>0</f>
        <v>0</v>
      </c>
    </row>
    <row r="105" spans="1:3" x14ac:dyDescent="0.2">
      <c r="A105" s="129" t="s">
        <v>632</v>
      </c>
      <c r="B105" s="131">
        <f>0</f>
        <v>0</v>
      </c>
      <c r="C105" s="131">
        <f>0</f>
        <v>0</v>
      </c>
    </row>
    <row r="106" spans="1:3" x14ac:dyDescent="0.2">
      <c r="A106" s="129" t="s">
        <v>512</v>
      </c>
      <c r="B106" s="131">
        <f>0</f>
        <v>0</v>
      </c>
      <c r="C106" s="131">
        <f>7650</f>
        <v>7650</v>
      </c>
    </row>
    <row r="107" spans="1:3" x14ac:dyDescent="0.2">
      <c r="A107" s="129" t="s">
        <v>224</v>
      </c>
      <c r="B107" s="131">
        <f>6282.49</f>
        <v>6282.49</v>
      </c>
      <c r="C107" s="131">
        <f>4984.6</f>
        <v>4984.6000000000004</v>
      </c>
    </row>
    <row r="108" spans="1:3" x14ac:dyDescent="0.2">
      <c r="A108" s="129" t="s">
        <v>633</v>
      </c>
      <c r="B108" s="131">
        <f>0</f>
        <v>0</v>
      </c>
      <c r="C108" s="131">
        <f>0</f>
        <v>0</v>
      </c>
    </row>
    <row r="109" spans="1:3" x14ac:dyDescent="0.2">
      <c r="A109" s="129" t="s">
        <v>2219</v>
      </c>
      <c r="B109" s="131">
        <f>76.2</f>
        <v>76.2</v>
      </c>
      <c r="C109" s="130"/>
    </row>
    <row r="110" spans="1:3" x14ac:dyDescent="0.2">
      <c r="A110" s="129" t="s">
        <v>764</v>
      </c>
      <c r="B110" s="131">
        <f>0</f>
        <v>0</v>
      </c>
      <c r="C110" s="131">
        <f>0</f>
        <v>0</v>
      </c>
    </row>
    <row r="111" spans="1:3" x14ac:dyDescent="0.2">
      <c r="A111" s="129" t="s">
        <v>634</v>
      </c>
      <c r="B111" s="131">
        <f>0</f>
        <v>0</v>
      </c>
      <c r="C111" s="131">
        <f>0</f>
        <v>0</v>
      </c>
    </row>
    <row r="112" spans="1:3" x14ac:dyDescent="0.2">
      <c r="A112" s="129" t="s">
        <v>635</v>
      </c>
      <c r="B112" s="131">
        <f>0</f>
        <v>0</v>
      </c>
      <c r="C112" s="131">
        <f>0</f>
        <v>0</v>
      </c>
    </row>
    <row r="113" spans="1:3" x14ac:dyDescent="0.2">
      <c r="A113" s="129" t="s">
        <v>636</v>
      </c>
      <c r="B113" s="131">
        <f>0</f>
        <v>0</v>
      </c>
      <c r="C113" s="131">
        <f>0</f>
        <v>0</v>
      </c>
    </row>
    <row r="114" spans="1:3" x14ac:dyDescent="0.2">
      <c r="A114" s="129" t="s">
        <v>787</v>
      </c>
      <c r="B114" s="131">
        <f>0</f>
        <v>0</v>
      </c>
      <c r="C114" s="131">
        <f>0</f>
        <v>0</v>
      </c>
    </row>
    <row r="115" spans="1:3" x14ac:dyDescent="0.2">
      <c r="A115" s="129" t="s">
        <v>765</v>
      </c>
      <c r="B115" s="131">
        <f>0</f>
        <v>0</v>
      </c>
      <c r="C115" s="131">
        <f>0</f>
        <v>0</v>
      </c>
    </row>
    <row r="116" spans="1:3" x14ac:dyDescent="0.2">
      <c r="A116" s="129" t="s">
        <v>525</v>
      </c>
      <c r="B116" s="130"/>
      <c r="C116" s="130"/>
    </row>
    <row r="117" spans="1:3" x14ac:dyDescent="0.2">
      <c r="A117" s="129" t="s">
        <v>723</v>
      </c>
      <c r="B117" s="131">
        <f>0</f>
        <v>0</v>
      </c>
      <c r="C117" s="131">
        <f>0</f>
        <v>0</v>
      </c>
    </row>
    <row r="118" spans="1:3" x14ac:dyDescent="0.2">
      <c r="A118" s="129" t="s">
        <v>724</v>
      </c>
      <c r="B118" s="131">
        <f>0</f>
        <v>0</v>
      </c>
      <c r="C118" s="131">
        <f>0</f>
        <v>0</v>
      </c>
    </row>
    <row r="119" spans="1:3" x14ac:dyDescent="0.2">
      <c r="A119" s="129" t="s">
        <v>655</v>
      </c>
      <c r="B119" s="131">
        <f>0</f>
        <v>0</v>
      </c>
      <c r="C119" s="131">
        <f>0</f>
        <v>0</v>
      </c>
    </row>
    <row r="120" spans="1:3" x14ac:dyDescent="0.2">
      <c r="A120" s="129" t="s">
        <v>656</v>
      </c>
      <c r="B120" s="131">
        <f>0</f>
        <v>0</v>
      </c>
      <c r="C120" s="131">
        <f>0</f>
        <v>0</v>
      </c>
    </row>
    <row r="121" spans="1:3" x14ac:dyDescent="0.2">
      <c r="A121" s="129" t="s">
        <v>526</v>
      </c>
      <c r="B121" s="131">
        <f>0</f>
        <v>0</v>
      </c>
      <c r="C121" s="131">
        <f>0</f>
        <v>0</v>
      </c>
    </row>
    <row r="122" spans="1:3" x14ac:dyDescent="0.2">
      <c r="A122" s="129" t="s">
        <v>717</v>
      </c>
      <c r="B122" s="131">
        <f>0</f>
        <v>0</v>
      </c>
      <c r="C122" s="131">
        <f>0</f>
        <v>0</v>
      </c>
    </row>
    <row r="123" spans="1:3" x14ac:dyDescent="0.2">
      <c r="A123" s="129" t="s">
        <v>657</v>
      </c>
      <c r="B123" s="131">
        <f>0</f>
        <v>0</v>
      </c>
      <c r="C123" s="131">
        <f>0</f>
        <v>0</v>
      </c>
    </row>
    <row r="124" spans="1:3" x14ac:dyDescent="0.2">
      <c r="A124" s="129" t="s">
        <v>701</v>
      </c>
      <c r="B124" s="131">
        <f>0</f>
        <v>0</v>
      </c>
      <c r="C124" s="131">
        <f>0</f>
        <v>0</v>
      </c>
    </row>
    <row r="125" spans="1:3" x14ac:dyDescent="0.2">
      <c r="A125" s="129" t="s">
        <v>527</v>
      </c>
      <c r="B125" s="131">
        <f>0</f>
        <v>0</v>
      </c>
      <c r="C125" s="131">
        <f>0</f>
        <v>0</v>
      </c>
    </row>
    <row r="126" spans="1:3" x14ac:dyDescent="0.2">
      <c r="A126" s="129" t="s">
        <v>528</v>
      </c>
      <c r="B126" s="131">
        <f>0</f>
        <v>0</v>
      </c>
      <c r="C126" s="131">
        <f>0</f>
        <v>0</v>
      </c>
    </row>
    <row r="127" spans="1:3" x14ac:dyDescent="0.2">
      <c r="A127" s="129" t="s">
        <v>529</v>
      </c>
      <c r="B127" s="131">
        <f>0</f>
        <v>0</v>
      </c>
      <c r="C127" s="131">
        <f>0</f>
        <v>0</v>
      </c>
    </row>
    <row r="128" spans="1:3" x14ac:dyDescent="0.2">
      <c r="A128" s="129" t="s">
        <v>530</v>
      </c>
      <c r="B128" s="132">
        <f>(((((((((((B116)+(B117))+(B118))+(B119))+(B120))+(B121))+(B122))+(B123))+(B124))+(B125))+(B126))+(B127)</f>
        <v>0</v>
      </c>
      <c r="C128" s="132">
        <f>(((((((((((C116)+(C117))+(C118))+(C119))+(C120))+(C121))+(C122))+(C123))+(C124))+(C125))+(C126))+(C127)</f>
        <v>0</v>
      </c>
    </row>
    <row r="129" spans="1:3" x14ac:dyDescent="0.2">
      <c r="A129" s="129" t="s">
        <v>225</v>
      </c>
      <c r="B129" s="132">
        <f>(((((((((((((B103)+(B104))+(B105))+(B106))+(B107))+(B108))+(B109))+(B110))+(B111))+(B112))+(B113))+(B114))+(B115))+(B128)</f>
        <v>6358.69</v>
      </c>
      <c r="C129" s="132">
        <f>(((((((((((((C103)+(C104))+(C105))+(C106))+(C107))+(C108))+(C109))+(C110))+(C111))+(C112))+(C113))+(C114))+(C115))+(C128)</f>
        <v>12634.6</v>
      </c>
    </row>
    <row r="130" spans="1:3" x14ac:dyDescent="0.2">
      <c r="A130" s="129" t="s">
        <v>226</v>
      </c>
      <c r="B130" s="132">
        <f>((B91)+(B101))+(B129)</f>
        <v>17091.77</v>
      </c>
      <c r="C130" s="132">
        <f>((C91)+(C101))+(C129)</f>
        <v>28976.2</v>
      </c>
    </row>
    <row r="131" spans="1:3" x14ac:dyDescent="0.2">
      <c r="A131" s="129" t="s">
        <v>227</v>
      </c>
      <c r="B131" s="132">
        <f>B130</f>
        <v>17091.77</v>
      </c>
      <c r="C131" s="132">
        <f>C130</f>
        <v>28976.2</v>
      </c>
    </row>
    <row r="132" spans="1:3" x14ac:dyDescent="0.2">
      <c r="A132" s="129" t="s">
        <v>228</v>
      </c>
      <c r="B132" s="130"/>
      <c r="C132" s="130"/>
    </row>
    <row r="133" spans="1:3" x14ac:dyDescent="0.2">
      <c r="A133" s="129" t="s">
        <v>456</v>
      </c>
      <c r="B133" s="131">
        <f>0</f>
        <v>0</v>
      </c>
      <c r="C133" s="131">
        <f>0</f>
        <v>0</v>
      </c>
    </row>
    <row r="134" spans="1:3" x14ac:dyDescent="0.2">
      <c r="A134" s="129" t="s">
        <v>229</v>
      </c>
      <c r="B134" s="131">
        <f>2165032.36</f>
        <v>2165032.36</v>
      </c>
      <c r="C134" s="131">
        <f>2231443.24</f>
        <v>2231443.2400000002</v>
      </c>
    </row>
    <row r="135" spans="1:3" x14ac:dyDescent="0.2">
      <c r="A135" s="129" t="s">
        <v>230</v>
      </c>
      <c r="B135" s="131">
        <f>26546.37</f>
        <v>26546.37</v>
      </c>
      <c r="C135" s="131">
        <f>26546.37</f>
        <v>26546.37</v>
      </c>
    </row>
    <row r="136" spans="1:3" x14ac:dyDescent="0.2">
      <c r="A136" s="129" t="s">
        <v>457</v>
      </c>
      <c r="B136" s="132">
        <f>((B133)+(B134))+(B135)</f>
        <v>2191578.73</v>
      </c>
      <c r="C136" s="132">
        <f>((C133)+(C134))+(C135)</f>
        <v>2257989.6100000003</v>
      </c>
    </row>
    <row r="137" spans="1:3" x14ac:dyDescent="0.2">
      <c r="A137" s="129" t="s">
        <v>788</v>
      </c>
      <c r="B137" s="131">
        <f>0</f>
        <v>0</v>
      </c>
      <c r="C137" s="131">
        <f>0</f>
        <v>0</v>
      </c>
    </row>
    <row r="138" spans="1:3" x14ac:dyDescent="0.2">
      <c r="A138" s="129" t="s">
        <v>458</v>
      </c>
      <c r="B138" s="130"/>
      <c r="C138" s="130"/>
    </row>
    <row r="139" spans="1:3" x14ac:dyDescent="0.2">
      <c r="A139" s="129" t="s">
        <v>459</v>
      </c>
      <c r="B139" s="131">
        <f>79758</f>
        <v>79758</v>
      </c>
      <c r="C139" s="131">
        <f>79758</f>
        <v>79758</v>
      </c>
    </row>
    <row r="140" spans="1:3" x14ac:dyDescent="0.2">
      <c r="A140" s="129" t="s">
        <v>766</v>
      </c>
      <c r="B140" s="131">
        <f>0</f>
        <v>0</v>
      </c>
      <c r="C140" s="131">
        <f>162579</f>
        <v>162579</v>
      </c>
    </row>
    <row r="141" spans="1:3" x14ac:dyDescent="0.2">
      <c r="A141" s="129" t="s">
        <v>1781</v>
      </c>
      <c r="B141" s="131">
        <f>92504.37</f>
        <v>92504.37</v>
      </c>
      <c r="C141" s="130"/>
    </row>
    <row r="142" spans="1:3" x14ac:dyDescent="0.2">
      <c r="A142" s="129" t="s">
        <v>1782</v>
      </c>
      <c r="B142" s="131">
        <f>73676.44</f>
        <v>73676.44</v>
      </c>
      <c r="C142" s="130"/>
    </row>
    <row r="143" spans="1:3" x14ac:dyDescent="0.2">
      <c r="A143" s="129" t="s">
        <v>1783</v>
      </c>
      <c r="B143" s="132">
        <f>((B140)+(B141))+(B142)</f>
        <v>166180.81</v>
      </c>
      <c r="C143" s="132">
        <f>((C140)+(C141))+(C142)</f>
        <v>162579</v>
      </c>
    </row>
    <row r="144" spans="1:3" x14ac:dyDescent="0.2">
      <c r="A144" s="129" t="s">
        <v>503</v>
      </c>
      <c r="B144" s="131">
        <f>0</f>
        <v>0</v>
      </c>
      <c r="C144" s="131">
        <f>0</f>
        <v>0</v>
      </c>
    </row>
    <row r="145" spans="1:3" x14ac:dyDescent="0.2">
      <c r="A145" s="129" t="s">
        <v>659</v>
      </c>
      <c r="B145" s="131">
        <f>41759</f>
        <v>41759</v>
      </c>
      <c r="C145" s="131">
        <f>41759</f>
        <v>41759</v>
      </c>
    </row>
    <row r="146" spans="1:3" x14ac:dyDescent="0.2">
      <c r="A146" s="129" t="s">
        <v>460</v>
      </c>
      <c r="B146" s="132">
        <f>((((B138)+(B139))+(B143))+(B144))+(B145)</f>
        <v>287697.81</v>
      </c>
      <c r="C146" s="132">
        <f>((((C138)+(C139))+(C143))+(C144))+(C145)</f>
        <v>284096</v>
      </c>
    </row>
    <row r="147" spans="1:3" x14ac:dyDescent="0.2">
      <c r="A147" s="129" t="s">
        <v>796</v>
      </c>
      <c r="B147" s="131">
        <f>0</f>
        <v>0</v>
      </c>
      <c r="C147" s="131">
        <f>0</f>
        <v>0</v>
      </c>
    </row>
    <row r="148" spans="1:3" x14ac:dyDescent="0.2">
      <c r="A148" s="129" t="s">
        <v>231</v>
      </c>
      <c r="B148" s="131">
        <f>-58938.98</f>
        <v>-58938.98</v>
      </c>
      <c r="C148" s="131">
        <f>-62809.07</f>
        <v>-62809.07</v>
      </c>
    </row>
    <row r="149" spans="1:3" x14ac:dyDescent="0.2">
      <c r="A149" s="129" t="s">
        <v>232</v>
      </c>
      <c r="B149" s="132">
        <f>((((B136)+(B137))+(B146))+(B147))+(B148)</f>
        <v>2420337.56</v>
      </c>
      <c r="C149" s="132">
        <f>((((C136)+(C137))+(C146))+(C147))+(C148)</f>
        <v>2479276.5400000005</v>
      </c>
    </row>
    <row r="150" spans="1:3" x14ac:dyDescent="0.2">
      <c r="A150" s="129" t="s">
        <v>233</v>
      </c>
      <c r="B150" s="132">
        <f>(B131)+(B149)</f>
        <v>2437429.33</v>
      </c>
      <c r="C150" s="132">
        <f>(C131)+(C149)</f>
        <v>2508252.7400000007</v>
      </c>
    </row>
    <row r="151" spans="1:3" x14ac:dyDescent="0.2">
      <c r="A151" s="129"/>
      <c r="B151" s="130"/>
      <c r="C151" s="130"/>
    </row>
    <row r="154" spans="1:3" x14ac:dyDescent="0.2">
      <c r="A154" s="334" t="s">
        <v>2735</v>
      </c>
      <c r="B154" s="335"/>
      <c r="C154" s="335"/>
    </row>
  </sheetData>
  <mergeCells count="5">
    <mergeCell ref="A154:C154"/>
    <mergeCell ref="A1:C1"/>
    <mergeCell ref="A2:C2"/>
    <mergeCell ref="A3:C3"/>
    <mergeCell ref="B5:C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16230-FFE1-4141-8FDE-5F68EA548464}">
  <dimension ref="A1:C335"/>
  <sheetViews>
    <sheetView workbookViewId="0">
      <selection sqref="A1:C1"/>
    </sheetView>
  </sheetViews>
  <sheetFormatPr baseColWidth="10" defaultColWidth="8.83203125" defaultRowHeight="15" x14ac:dyDescent="0.2"/>
  <cols>
    <col min="1" max="1" width="55" customWidth="1"/>
    <col min="2" max="3" width="12" customWidth="1"/>
  </cols>
  <sheetData>
    <row r="1" spans="1:3" ht="18" x14ac:dyDescent="0.2">
      <c r="A1" s="336" t="s">
        <v>64</v>
      </c>
      <c r="B1" s="335"/>
      <c r="C1" s="335"/>
    </row>
    <row r="2" spans="1:3" ht="18" x14ac:dyDescent="0.2">
      <c r="A2" s="336" t="s">
        <v>737</v>
      </c>
      <c r="B2" s="335"/>
      <c r="C2" s="335"/>
    </row>
    <row r="3" spans="1:3" x14ac:dyDescent="0.2">
      <c r="A3" s="337" t="s">
        <v>2675</v>
      </c>
      <c r="B3" s="335"/>
      <c r="C3" s="335"/>
    </row>
    <row r="5" spans="1:3" x14ac:dyDescent="0.2">
      <c r="A5" s="11"/>
      <c r="B5" s="338" t="s">
        <v>501</v>
      </c>
      <c r="C5" s="339"/>
    </row>
    <row r="6" spans="1:3" ht="27" x14ac:dyDescent="0.2">
      <c r="A6" s="11"/>
      <c r="B6" s="128" t="s">
        <v>2687</v>
      </c>
      <c r="C6" s="128" t="s">
        <v>2688</v>
      </c>
    </row>
    <row r="7" spans="1:3" x14ac:dyDescent="0.2">
      <c r="A7" s="129" t="s">
        <v>0</v>
      </c>
      <c r="B7" s="130"/>
      <c r="C7" s="130"/>
    </row>
    <row r="8" spans="1:3" x14ac:dyDescent="0.2">
      <c r="A8" s="129" t="s">
        <v>234</v>
      </c>
      <c r="B8" s="130"/>
      <c r="C8" s="130"/>
    </row>
    <row r="9" spans="1:3" x14ac:dyDescent="0.2">
      <c r="A9" s="129" t="s">
        <v>235</v>
      </c>
      <c r="B9" s="130"/>
      <c r="C9" s="131">
        <f>0</f>
        <v>0</v>
      </c>
    </row>
    <row r="10" spans="1:3" x14ac:dyDescent="0.2">
      <c r="A10" s="129" t="s">
        <v>236</v>
      </c>
      <c r="B10" s="131">
        <f>149677.5</f>
        <v>149677.5</v>
      </c>
      <c r="C10" s="131">
        <f>149924.99</f>
        <v>149924.99</v>
      </c>
    </row>
    <row r="11" spans="1:3" x14ac:dyDescent="0.2">
      <c r="A11" s="129" t="s">
        <v>237</v>
      </c>
      <c r="B11" s="131">
        <f>0</f>
        <v>0</v>
      </c>
      <c r="C11" s="131">
        <f>0</f>
        <v>0</v>
      </c>
    </row>
    <row r="12" spans="1:3" x14ac:dyDescent="0.2">
      <c r="A12" s="129" t="s">
        <v>238</v>
      </c>
      <c r="B12" s="132">
        <f>((B9)+(B10))+(B11)</f>
        <v>149677.5</v>
      </c>
      <c r="C12" s="132">
        <f>((C9)+(C10))+(C11)</f>
        <v>149924.99</v>
      </c>
    </row>
    <row r="13" spans="1:3" x14ac:dyDescent="0.2">
      <c r="A13" s="129" t="s">
        <v>469</v>
      </c>
      <c r="B13" s="130"/>
      <c r="C13" s="131">
        <f>0</f>
        <v>0</v>
      </c>
    </row>
    <row r="14" spans="1:3" x14ac:dyDescent="0.2">
      <c r="A14" s="129" t="s">
        <v>239</v>
      </c>
      <c r="B14" s="131">
        <f>169150</f>
        <v>169150</v>
      </c>
      <c r="C14" s="130"/>
    </row>
    <row r="15" spans="1:3" x14ac:dyDescent="0.2">
      <c r="A15" s="129" t="s">
        <v>240</v>
      </c>
      <c r="B15" s="131">
        <f>100</f>
        <v>100</v>
      </c>
      <c r="C15" s="131">
        <f>150083.38</f>
        <v>150083.38</v>
      </c>
    </row>
    <row r="16" spans="1:3" x14ac:dyDescent="0.2">
      <c r="A16" s="129" t="s">
        <v>241</v>
      </c>
      <c r="B16" s="131">
        <f>0</f>
        <v>0</v>
      </c>
      <c r="C16" s="131">
        <f>0</f>
        <v>0</v>
      </c>
    </row>
    <row r="17" spans="1:3" x14ac:dyDescent="0.2">
      <c r="A17" s="129" t="s">
        <v>242</v>
      </c>
      <c r="B17" s="132">
        <f>((B14)+(B15))+(B16)</f>
        <v>169250</v>
      </c>
      <c r="C17" s="132">
        <f>((C14)+(C15))+(C16)</f>
        <v>150083.38</v>
      </c>
    </row>
    <row r="18" spans="1:3" x14ac:dyDescent="0.2">
      <c r="A18" s="129" t="s">
        <v>470</v>
      </c>
      <c r="B18" s="132">
        <f>(B13)+(B17)</f>
        <v>169250</v>
      </c>
      <c r="C18" s="132">
        <f>(C13)+(C17)</f>
        <v>150083.38</v>
      </c>
    </row>
    <row r="19" spans="1:3" x14ac:dyDescent="0.2">
      <c r="A19" s="129" t="s">
        <v>243</v>
      </c>
      <c r="B19" s="130"/>
      <c r="C19" s="130"/>
    </row>
    <row r="20" spans="1:3" x14ac:dyDescent="0.2">
      <c r="A20" s="129" t="s">
        <v>244</v>
      </c>
      <c r="B20" s="130"/>
      <c r="C20" s="130"/>
    </row>
    <row r="21" spans="1:3" x14ac:dyDescent="0.2">
      <c r="A21" s="129" t="s">
        <v>245</v>
      </c>
      <c r="B21" s="130"/>
      <c r="C21" s="131">
        <f>75</f>
        <v>75</v>
      </c>
    </row>
    <row r="22" spans="1:3" x14ac:dyDescent="0.2">
      <c r="A22" s="129" t="s">
        <v>246</v>
      </c>
      <c r="B22" s="132">
        <f>(B20)+(B21)</f>
        <v>0</v>
      </c>
      <c r="C22" s="132">
        <f>(C20)+(C21)</f>
        <v>75</v>
      </c>
    </row>
    <row r="23" spans="1:3" x14ac:dyDescent="0.2">
      <c r="A23" s="129" t="s">
        <v>247</v>
      </c>
      <c r="B23" s="130"/>
      <c r="C23" s="131">
        <f>0</f>
        <v>0</v>
      </c>
    </row>
    <row r="24" spans="1:3" x14ac:dyDescent="0.2">
      <c r="A24" s="129" t="s">
        <v>1601</v>
      </c>
      <c r="B24" s="131">
        <f>35000</f>
        <v>35000</v>
      </c>
      <c r="C24" s="130"/>
    </row>
    <row r="25" spans="1:3" x14ac:dyDescent="0.2">
      <c r="A25" s="129" t="s">
        <v>961</v>
      </c>
      <c r="B25" s="131">
        <f>5000</f>
        <v>5000</v>
      </c>
      <c r="C25" s="131">
        <f>5254.1</f>
        <v>5254.1</v>
      </c>
    </row>
    <row r="26" spans="1:3" x14ac:dyDescent="0.2">
      <c r="A26" s="129" t="s">
        <v>672</v>
      </c>
      <c r="B26" s="131">
        <f>12.22</f>
        <v>12.22</v>
      </c>
      <c r="C26" s="131">
        <f>17.36</f>
        <v>17.36</v>
      </c>
    </row>
    <row r="27" spans="1:3" x14ac:dyDescent="0.2">
      <c r="A27" s="129" t="s">
        <v>2689</v>
      </c>
      <c r="B27" s="130"/>
      <c r="C27" s="131">
        <f>3880.48</f>
        <v>3880.48</v>
      </c>
    </row>
    <row r="28" spans="1:3" x14ac:dyDescent="0.2">
      <c r="A28" s="129" t="s">
        <v>2676</v>
      </c>
      <c r="B28" s="131">
        <f>216.02</f>
        <v>216.02</v>
      </c>
      <c r="C28" s="130"/>
    </row>
    <row r="29" spans="1:3" x14ac:dyDescent="0.2">
      <c r="A29" s="129" t="s">
        <v>248</v>
      </c>
      <c r="B29" s="132">
        <f>(((((B23)+(B24))+(B25))+(B26))+(B27))+(B28)</f>
        <v>40228.239999999998</v>
      </c>
      <c r="C29" s="132">
        <f>(((((C23)+(C24))+(C25))+(C26))+(C27))+(C28)</f>
        <v>9151.94</v>
      </c>
    </row>
    <row r="30" spans="1:3" x14ac:dyDescent="0.2">
      <c r="A30" s="129" t="s">
        <v>249</v>
      </c>
      <c r="B30" s="132">
        <f>((B19)+(B22))+(B29)</f>
        <v>40228.239999999998</v>
      </c>
      <c r="C30" s="132">
        <f>((C19)+(C22))+(C29)</f>
        <v>9226.94</v>
      </c>
    </row>
    <row r="31" spans="1:3" x14ac:dyDescent="0.2">
      <c r="A31" s="129" t="s">
        <v>250</v>
      </c>
      <c r="B31" s="132">
        <f>(((B8)+(B12))+(B18))+(B30)</f>
        <v>359155.74</v>
      </c>
      <c r="C31" s="132">
        <f>(((C8)+(C12))+(C18))+(C30)</f>
        <v>309235.31</v>
      </c>
    </row>
    <row r="32" spans="1:3" x14ac:dyDescent="0.2">
      <c r="A32" s="129" t="s">
        <v>251</v>
      </c>
      <c r="B32" s="130"/>
      <c r="C32" s="130"/>
    </row>
    <row r="33" spans="1:3" x14ac:dyDescent="0.2">
      <c r="A33" s="129" t="s">
        <v>252</v>
      </c>
      <c r="B33" s="130"/>
      <c r="C33" s="130"/>
    </row>
    <row r="34" spans="1:3" x14ac:dyDescent="0.2">
      <c r="A34" s="129" t="s">
        <v>253</v>
      </c>
      <c r="B34" s="131">
        <f>87011.47</f>
        <v>87011.47</v>
      </c>
      <c r="C34" s="131">
        <f>118823.87</f>
        <v>118823.87</v>
      </c>
    </row>
    <row r="35" spans="1:3" x14ac:dyDescent="0.2">
      <c r="A35" s="129" t="s">
        <v>2690</v>
      </c>
      <c r="B35" s="130"/>
      <c r="C35" s="131">
        <f>-19825</f>
        <v>-19825</v>
      </c>
    </row>
    <row r="36" spans="1:3" x14ac:dyDescent="0.2">
      <c r="A36" s="129" t="s">
        <v>254</v>
      </c>
      <c r="B36" s="131">
        <f>52534.3</f>
        <v>52534.3</v>
      </c>
      <c r="C36" s="131">
        <f>42586</f>
        <v>42586</v>
      </c>
    </row>
    <row r="37" spans="1:3" x14ac:dyDescent="0.2">
      <c r="A37" s="129" t="s">
        <v>587</v>
      </c>
      <c r="B37" s="131">
        <f>393.5</f>
        <v>393.5</v>
      </c>
      <c r="C37" s="131">
        <f>4726.9</f>
        <v>4726.8999999999996</v>
      </c>
    </row>
    <row r="38" spans="1:3" x14ac:dyDescent="0.2">
      <c r="A38" s="129" t="s">
        <v>588</v>
      </c>
      <c r="B38" s="130"/>
      <c r="C38" s="131">
        <f>4305</f>
        <v>4305</v>
      </c>
    </row>
    <row r="39" spans="1:3" x14ac:dyDescent="0.2">
      <c r="A39" s="129" t="s">
        <v>255</v>
      </c>
      <c r="B39" s="132">
        <f>(((((B33)+(B34))+(B35))+(B36))+(B37))+(B38)</f>
        <v>139939.27000000002</v>
      </c>
      <c r="C39" s="132">
        <f>(((((C33)+(C34))+(C35))+(C36))+(C37))+(C38)</f>
        <v>150616.76999999999</v>
      </c>
    </row>
    <row r="40" spans="1:3" x14ac:dyDescent="0.2">
      <c r="A40" s="129" t="s">
        <v>256</v>
      </c>
      <c r="B40" s="130"/>
      <c r="C40" s="131">
        <f>516.01</f>
        <v>516.01</v>
      </c>
    </row>
    <row r="41" spans="1:3" x14ac:dyDescent="0.2">
      <c r="A41" s="129" t="s">
        <v>257</v>
      </c>
      <c r="B41" s="130"/>
      <c r="C41" s="130"/>
    </row>
    <row r="42" spans="1:3" x14ac:dyDescent="0.2">
      <c r="A42" s="129" t="s">
        <v>461</v>
      </c>
      <c r="B42" s="131">
        <f>31387.5</f>
        <v>31387.5</v>
      </c>
      <c r="C42" s="131">
        <f>22865.16</f>
        <v>22865.16</v>
      </c>
    </row>
    <row r="43" spans="1:3" x14ac:dyDescent="0.2">
      <c r="A43" s="129" t="s">
        <v>258</v>
      </c>
      <c r="B43" s="131">
        <f>6050</f>
        <v>6050</v>
      </c>
      <c r="C43" s="131">
        <f>4809</f>
        <v>4809</v>
      </c>
    </row>
    <row r="44" spans="1:3" x14ac:dyDescent="0.2">
      <c r="A44" s="129" t="s">
        <v>259</v>
      </c>
      <c r="B44" s="131">
        <f>17500</f>
        <v>17500</v>
      </c>
      <c r="C44" s="131">
        <f>25000</f>
        <v>25000</v>
      </c>
    </row>
    <row r="45" spans="1:3" x14ac:dyDescent="0.2">
      <c r="A45" s="129" t="s">
        <v>483</v>
      </c>
      <c r="B45" s="131">
        <f>3943</f>
        <v>3943</v>
      </c>
      <c r="C45" s="131">
        <f>2998.64</f>
        <v>2998.64</v>
      </c>
    </row>
    <row r="46" spans="1:3" x14ac:dyDescent="0.2">
      <c r="A46" s="129" t="s">
        <v>381</v>
      </c>
      <c r="B46" s="130"/>
      <c r="C46" s="131">
        <f>1734.79</f>
        <v>1734.79</v>
      </c>
    </row>
    <row r="47" spans="1:3" x14ac:dyDescent="0.2">
      <c r="A47" s="129" t="s">
        <v>382</v>
      </c>
      <c r="B47" s="131">
        <f>90000</f>
        <v>90000</v>
      </c>
      <c r="C47" s="131">
        <f>90000</f>
        <v>90000</v>
      </c>
    </row>
    <row r="48" spans="1:3" x14ac:dyDescent="0.2">
      <c r="A48" s="129" t="s">
        <v>589</v>
      </c>
      <c r="B48" s="130"/>
      <c r="C48" s="131">
        <f>725</f>
        <v>725</v>
      </c>
    </row>
    <row r="49" spans="1:3" x14ac:dyDescent="0.2">
      <c r="A49" s="129" t="s">
        <v>260</v>
      </c>
      <c r="B49" s="132">
        <f>(((((((B41)+(B42))+(B43))+(B44))+(B45))+(B46))+(B47))+(B48)</f>
        <v>148880.5</v>
      </c>
      <c r="C49" s="132">
        <f>(((((((C41)+(C42))+(C43))+(C44))+(C45))+(C46))+(C47))+(C48)</f>
        <v>148132.59</v>
      </c>
    </row>
    <row r="50" spans="1:3" x14ac:dyDescent="0.2">
      <c r="A50" s="129" t="s">
        <v>2691</v>
      </c>
      <c r="B50" s="130"/>
      <c r="C50" s="131">
        <f>79.95</f>
        <v>79.95</v>
      </c>
    </row>
    <row r="51" spans="1:3" x14ac:dyDescent="0.2">
      <c r="A51" s="129" t="s">
        <v>262</v>
      </c>
      <c r="B51" s="132">
        <f>((B40)+(B49))+(B50)</f>
        <v>148880.5</v>
      </c>
      <c r="C51" s="132">
        <f>((C40)+(C49))+(C50)</f>
        <v>148728.55000000002</v>
      </c>
    </row>
    <row r="52" spans="1:3" x14ac:dyDescent="0.2">
      <c r="A52" s="129" t="s">
        <v>2479</v>
      </c>
      <c r="B52" s="130"/>
      <c r="C52" s="130"/>
    </row>
    <row r="53" spans="1:3" x14ac:dyDescent="0.2">
      <c r="A53" s="129" t="s">
        <v>1131</v>
      </c>
      <c r="B53" s="131">
        <f>10989.2</f>
        <v>10989.2</v>
      </c>
      <c r="C53" s="131">
        <f>718.4</f>
        <v>718.4</v>
      </c>
    </row>
    <row r="54" spans="1:3" x14ac:dyDescent="0.2">
      <c r="A54" s="129" t="s">
        <v>384</v>
      </c>
      <c r="B54" s="131">
        <f>1324.26</f>
        <v>1324.26</v>
      </c>
      <c r="C54" s="131">
        <f>1706.92</f>
        <v>1706.92</v>
      </c>
    </row>
    <row r="55" spans="1:3" x14ac:dyDescent="0.2">
      <c r="A55" s="129" t="s">
        <v>1699</v>
      </c>
      <c r="B55" s="131">
        <f>4127.72</f>
        <v>4127.72</v>
      </c>
      <c r="C55" s="130"/>
    </row>
    <row r="56" spans="1:3" x14ac:dyDescent="0.2">
      <c r="A56" s="129" t="s">
        <v>2480</v>
      </c>
      <c r="B56" s="132">
        <f>(((B52)+(B53))+(B54))+(B55)</f>
        <v>16441.18</v>
      </c>
      <c r="C56" s="132">
        <f>(((C52)+(C53))+(C54))+(C55)</f>
        <v>2425.3200000000002</v>
      </c>
    </row>
    <row r="57" spans="1:3" x14ac:dyDescent="0.2">
      <c r="A57" s="129" t="s">
        <v>956</v>
      </c>
      <c r="B57" s="131">
        <f>3424.65</f>
        <v>3424.65</v>
      </c>
      <c r="C57" s="130"/>
    </row>
    <row r="58" spans="1:3" x14ac:dyDescent="0.2">
      <c r="A58" s="129" t="s">
        <v>263</v>
      </c>
      <c r="B58" s="132">
        <f>((((B32)+(B39))+(B51))+(B56))+(B57)</f>
        <v>308685.60000000003</v>
      </c>
      <c r="C58" s="132">
        <f>((((C32)+(C39))+(C51))+(C56))+(C57)</f>
        <v>301770.64</v>
      </c>
    </row>
    <row r="59" spans="1:3" x14ac:dyDescent="0.2">
      <c r="A59" s="129" t="s">
        <v>2692</v>
      </c>
      <c r="B59" s="130"/>
      <c r="C59" s="131">
        <f>0</f>
        <v>0</v>
      </c>
    </row>
    <row r="60" spans="1:3" x14ac:dyDescent="0.2">
      <c r="A60" s="129" t="s">
        <v>1</v>
      </c>
      <c r="B60" s="132">
        <f>((B31)+(B58))+(B59)</f>
        <v>667841.34000000008</v>
      </c>
      <c r="C60" s="132">
        <f>((C31)+(C58))+(C59)</f>
        <v>611005.94999999995</v>
      </c>
    </row>
    <row r="61" spans="1:3" x14ac:dyDescent="0.2">
      <c r="A61" s="129" t="s">
        <v>2</v>
      </c>
      <c r="B61" s="132">
        <f>(B60)-(0)</f>
        <v>667841.34000000008</v>
      </c>
      <c r="C61" s="132">
        <f>(C60)-(0)</f>
        <v>611005.94999999995</v>
      </c>
    </row>
    <row r="62" spans="1:3" x14ac:dyDescent="0.2">
      <c r="A62" s="129" t="s">
        <v>264</v>
      </c>
      <c r="B62" s="130"/>
      <c r="C62" s="130"/>
    </row>
    <row r="63" spans="1:3" x14ac:dyDescent="0.2">
      <c r="A63" s="129" t="s">
        <v>265</v>
      </c>
      <c r="B63" s="130"/>
      <c r="C63" s="130"/>
    </row>
    <row r="64" spans="1:3" x14ac:dyDescent="0.2">
      <c r="A64" s="129" t="s">
        <v>1763</v>
      </c>
      <c r="B64" s="130"/>
      <c r="C64" s="130"/>
    </row>
    <row r="65" spans="1:3" x14ac:dyDescent="0.2">
      <c r="A65" s="129" t="s">
        <v>1642</v>
      </c>
      <c r="B65" s="131">
        <f>0</f>
        <v>0</v>
      </c>
      <c r="C65" s="131">
        <f>0</f>
        <v>0</v>
      </c>
    </row>
    <row r="66" spans="1:3" x14ac:dyDescent="0.2">
      <c r="A66" s="129" t="s">
        <v>1646</v>
      </c>
      <c r="B66" s="131">
        <f>0</f>
        <v>0</v>
      </c>
      <c r="C66" s="131">
        <f>3750.02</f>
        <v>3750.02</v>
      </c>
    </row>
    <row r="67" spans="1:3" x14ac:dyDescent="0.2">
      <c r="A67" s="129" t="s">
        <v>1647</v>
      </c>
      <c r="B67" s="131">
        <f>0</f>
        <v>0</v>
      </c>
      <c r="C67" s="131">
        <f>3300</f>
        <v>3300</v>
      </c>
    </row>
    <row r="68" spans="1:3" x14ac:dyDescent="0.2">
      <c r="A68" s="129" t="s">
        <v>2693</v>
      </c>
      <c r="B68" s="130"/>
      <c r="C68" s="131">
        <f>1652.85</f>
        <v>1652.85</v>
      </c>
    </row>
    <row r="69" spans="1:3" x14ac:dyDescent="0.2">
      <c r="A69" s="129" t="s">
        <v>2694</v>
      </c>
      <c r="B69" s="130"/>
      <c r="C69" s="131">
        <f>0</f>
        <v>0</v>
      </c>
    </row>
    <row r="70" spans="1:3" x14ac:dyDescent="0.2">
      <c r="A70" s="129" t="s">
        <v>1648</v>
      </c>
      <c r="B70" s="131">
        <f>2600</f>
        <v>2600</v>
      </c>
      <c r="C70" s="131">
        <f>9425</f>
        <v>9425</v>
      </c>
    </row>
    <row r="71" spans="1:3" x14ac:dyDescent="0.2">
      <c r="A71" s="129" t="s">
        <v>1649</v>
      </c>
      <c r="B71" s="131">
        <f>0</f>
        <v>0</v>
      </c>
      <c r="C71" s="131">
        <f>5300</f>
        <v>5300</v>
      </c>
    </row>
    <row r="72" spans="1:3" x14ac:dyDescent="0.2">
      <c r="A72" s="129" t="s">
        <v>1650</v>
      </c>
      <c r="B72" s="131">
        <f>2265</f>
        <v>2265</v>
      </c>
      <c r="C72" s="131">
        <f>4550</f>
        <v>4550</v>
      </c>
    </row>
    <row r="73" spans="1:3" x14ac:dyDescent="0.2">
      <c r="A73" s="129" t="s">
        <v>1653</v>
      </c>
      <c r="B73" s="131">
        <f>1511.25</f>
        <v>1511.25</v>
      </c>
      <c r="C73" s="130"/>
    </row>
    <row r="74" spans="1:3" x14ac:dyDescent="0.2">
      <c r="A74" s="129" t="s">
        <v>1654</v>
      </c>
      <c r="B74" s="131">
        <f>2400</f>
        <v>2400</v>
      </c>
      <c r="C74" s="130"/>
    </row>
    <row r="75" spans="1:3" x14ac:dyDescent="0.2">
      <c r="A75" s="129" t="s">
        <v>2695</v>
      </c>
      <c r="B75" s="130"/>
      <c r="C75" s="131">
        <f>4200</f>
        <v>4200</v>
      </c>
    </row>
    <row r="76" spans="1:3" x14ac:dyDescent="0.2">
      <c r="A76" s="129" t="s">
        <v>2324</v>
      </c>
      <c r="B76" s="130"/>
      <c r="C76" s="130"/>
    </row>
    <row r="77" spans="1:3" x14ac:dyDescent="0.2">
      <c r="A77" s="129" t="s">
        <v>2325</v>
      </c>
      <c r="B77" s="131">
        <f>41765</f>
        <v>41765</v>
      </c>
      <c r="C77" s="131">
        <f>900</f>
        <v>900</v>
      </c>
    </row>
    <row r="78" spans="1:3" x14ac:dyDescent="0.2">
      <c r="A78" s="129" t="s">
        <v>2539</v>
      </c>
      <c r="B78" s="131">
        <f>3356.65</f>
        <v>3356.65</v>
      </c>
      <c r="C78" s="130"/>
    </row>
    <row r="79" spans="1:3" x14ac:dyDescent="0.2">
      <c r="A79" s="129" t="s">
        <v>2326</v>
      </c>
      <c r="B79" s="132">
        <f>((B76)+(B77))+(B78)</f>
        <v>45121.65</v>
      </c>
      <c r="C79" s="132">
        <f>((C76)+(C77))+(C78)</f>
        <v>900</v>
      </c>
    </row>
    <row r="80" spans="1:3" x14ac:dyDescent="0.2">
      <c r="A80" s="129" t="s">
        <v>1551</v>
      </c>
      <c r="B80" s="131">
        <f>28295.66</f>
        <v>28295.66</v>
      </c>
      <c r="C80" s="131">
        <f>29113.29</f>
        <v>29113.29</v>
      </c>
    </row>
    <row r="81" spans="1:3" x14ac:dyDescent="0.2">
      <c r="A81" s="129" t="s">
        <v>1657</v>
      </c>
      <c r="B81" s="131">
        <f>931.66</f>
        <v>931.66</v>
      </c>
      <c r="C81" s="130"/>
    </row>
    <row r="82" spans="1:3" x14ac:dyDescent="0.2">
      <c r="A82" s="129" t="s">
        <v>2060</v>
      </c>
      <c r="B82" s="131">
        <f>1200</f>
        <v>1200</v>
      </c>
      <c r="C82" s="130"/>
    </row>
    <row r="83" spans="1:3" x14ac:dyDescent="0.2">
      <c r="A83" s="129" t="s">
        <v>1764</v>
      </c>
      <c r="B83" s="131">
        <f>8850</f>
        <v>8850</v>
      </c>
      <c r="C83" s="130"/>
    </row>
    <row r="84" spans="1:3" x14ac:dyDescent="0.2">
      <c r="A84" s="129" t="s">
        <v>2696</v>
      </c>
      <c r="B84" s="130"/>
      <c r="C84" s="131">
        <f>2925</f>
        <v>2925</v>
      </c>
    </row>
    <row r="85" spans="1:3" x14ac:dyDescent="0.2">
      <c r="A85" s="129" t="s">
        <v>2697</v>
      </c>
      <c r="B85" s="130"/>
      <c r="C85" s="131">
        <f>2700</f>
        <v>2700</v>
      </c>
    </row>
    <row r="86" spans="1:3" x14ac:dyDescent="0.2">
      <c r="A86" s="129" t="s">
        <v>1765</v>
      </c>
      <c r="B86" s="131">
        <f>5000</f>
        <v>5000</v>
      </c>
      <c r="C86" s="130"/>
    </row>
    <row r="87" spans="1:3" x14ac:dyDescent="0.2">
      <c r="A87" s="129" t="s">
        <v>1766</v>
      </c>
      <c r="B87" s="132">
        <f>((((((((((((((((((B65)+(B66))+(B67))+(B68))+(B69))+(B70))+(B71))+(B72))+(B73))+(B74))+(B75))+(B79))+(B80))+(B81))+(B82))+(B83))+(B84))+(B85))+(B86)</f>
        <v>98175.22</v>
      </c>
      <c r="C87" s="132">
        <f>((((((((((((((((((C65)+(C66))+(C67))+(C68))+(C69))+(C70))+(C71))+(C72))+(C73))+(C74))+(C75))+(C79))+(C80))+(C81))+(C82))+(C83))+(C84))+(C85))+(C86)</f>
        <v>67816.160000000003</v>
      </c>
    </row>
    <row r="88" spans="1:3" x14ac:dyDescent="0.2">
      <c r="A88" s="129" t="s">
        <v>355</v>
      </c>
      <c r="B88" s="130"/>
      <c r="C88" s="130"/>
    </row>
    <row r="89" spans="1:3" x14ac:dyDescent="0.2">
      <c r="A89" s="129" t="s">
        <v>797</v>
      </c>
      <c r="B89" s="131">
        <f>14147.25</f>
        <v>14147.25</v>
      </c>
      <c r="C89" s="131">
        <f>14997.92</f>
        <v>14997.92</v>
      </c>
    </row>
    <row r="90" spans="1:3" x14ac:dyDescent="0.2">
      <c r="A90" s="129" t="s">
        <v>356</v>
      </c>
      <c r="B90" s="131">
        <f>0</f>
        <v>0</v>
      </c>
      <c r="C90" s="131">
        <f>0</f>
        <v>0</v>
      </c>
    </row>
    <row r="91" spans="1:3" x14ac:dyDescent="0.2">
      <c r="A91" s="129" t="s">
        <v>357</v>
      </c>
      <c r="B91" s="131">
        <f>72673.13</f>
        <v>72673.13</v>
      </c>
      <c r="C91" s="131">
        <f>63122.63</f>
        <v>63122.63</v>
      </c>
    </row>
    <row r="92" spans="1:3" x14ac:dyDescent="0.2">
      <c r="A92" s="129" t="s">
        <v>834</v>
      </c>
      <c r="B92" s="131">
        <f>4170.12</f>
        <v>4170.12</v>
      </c>
      <c r="C92" s="130"/>
    </row>
    <row r="93" spans="1:3" x14ac:dyDescent="0.2">
      <c r="A93" s="129" t="s">
        <v>1658</v>
      </c>
      <c r="B93" s="131">
        <f>537.48</f>
        <v>537.48</v>
      </c>
      <c r="C93" s="130"/>
    </row>
    <row r="94" spans="1:3" x14ac:dyDescent="0.2">
      <c r="A94" s="129" t="s">
        <v>2214</v>
      </c>
      <c r="B94" s="131">
        <f>13235.85</f>
        <v>13235.85</v>
      </c>
      <c r="C94" s="131">
        <f>14580.6</f>
        <v>14580.6</v>
      </c>
    </row>
    <row r="95" spans="1:3" x14ac:dyDescent="0.2">
      <c r="A95" s="129" t="s">
        <v>1767</v>
      </c>
      <c r="B95" s="132">
        <f>((((B90)+(B91))+(B92))+(B93))+(B94)</f>
        <v>90616.58</v>
      </c>
      <c r="C95" s="132">
        <f>((((C90)+(C91))+(C92))+(C93))+(C94)</f>
        <v>77703.23</v>
      </c>
    </row>
    <row r="96" spans="1:3" x14ac:dyDescent="0.2">
      <c r="A96" s="129" t="s">
        <v>552</v>
      </c>
      <c r="B96" s="130"/>
      <c r="C96" s="130"/>
    </row>
    <row r="97" spans="1:3" x14ac:dyDescent="0.2">
      <c r="A97" s="129" t="s">
        <v>553</v>
      </c>
      <c r="B97" s="131">
        <f>303.05</f>
        <v>303.05</v>
      </c>
      <c r="C97" s="131">
        <f>34079.17</f>
        <v>34079.17</v>
      </c>
    </row>
    <row r="98" spans="1:3" x14ac:dyDescent="0.2">
      <c r="A98" s="129" t="s">
        <v>1768</v>
      </c>
      <c r="B98" s="132">
        <f>(B96)+(B97)</f>
        <v>303.05</v>
      </c>
      <c r="C98" s="132">
        <f>(C96)+(C97)</f>
        <v>34079.17</v>
      </c>
    </row>
    <row r="99" spans="1:3" x14ac:dyDescent="0.2">
      <c r="A99" s="129" t="s">
        <v>1769</v>
      </c>
      <c r="B99" s="132">
        <f>(((B88)+(B89))+(B95))+(B98)</f>
        <v>105066.88</v>
      </c>
      <c r="C99" s="132">
        <f>(((C88)+(C89))+(C95))+(C98)</f>
        <v>126780.31999999999</v>
      </c>
    </row>
    <row r="100" spans="1:3" x14ac:dyDescent="0.2">
      <c r="A100" s="129" t="s">
        <v>358</v>
      </c>
      <c r="B100" s="130"/>
      <c r="C100" s="130"/>
    </row>
    <row r="101" spans="1:3" x14ac:dyDescent="0.2">
      <c r="A101" s="129" t="s">
        <v>1020</v>
      </c>
      <c r="B101" s="131">
        <f>6245.43</f>
        <v>6245.43</v>
      </c>
      <c r="C101" s="131">
        <f>6479.75</f>
        <v>6479.75</v>
      </c>
    </row>
    <row r="102" spans="1:3" x14ac:dyDescent="0.2">
      <c r="A102" s="129" t="s">
        <v>566</v>
      </c>
      <c r="B102" s="131">
        <f>18931.6</f>
        <v>18931.599999999999</v>
      </c>
      <c r="C102" s="131">
        <f>17109.1</f>
        <v>17109.099999999999</v>
      </c>
    </row>
    <row r="103" spans="1:3" x14ac:dyDescent="0.2">
      <c r="A103" s="129" t="s">
        <v>767</v>
      </c>
      <c r="B103" s="131">
        <f>4795</f>
        <v>4795</v>
      </c>
      <c r="C103" s="131">
        <f>5375</f>
        <v>5375</v>
      </c>
    </row>
    <row r="104" spans="1:3" x14ac:dyDescent="0.2">
      <c r="A104" s="129" t="s">
        <v>545</v>
      </c>
      <c r="B104" s="131">
        <f>2252.35</f>
        <v>2252.35</v>
      </c>
      <c r="C104" s="131">
        <f>2040.3</f>
        <v>2040.3</v>
      </c>
    </row>
    <row r="105" spans="1:3" x14ac:dyDescent="0.2">
      <c r="A105" s="129" t="s">
        <v>718</v>
      </c>
      <c r="B105" s="131">
        <f>619.23</f>
        <v>619.23</v>
      </c>
      <c r="C105" s="131">
        <f>881.19</f>
        <v>881.19</v>
      </c>
    </row>
    <row r="106" spans="1:3" x14ac:dyDescent="0.2">
      <c r="A106" s="129" t="s">
        <v>1770</v>
      </c>
      <c r="B106" s="132">
        <f>(((((B100)+(B101))+(B102))+(B103))+(B104))+(B105)</f>
        <v>32843.61</v>
      </c>
      <c r="C106" s="132">
        <f>(((((C100)+(C101))+(C102))+(C103))+(C104))+(C105)</f>
        <v>31885.339999999997</v>
      </c>
    </row>
    <row r="107" spans="1:3" x14ac:dyDescent="0.2">
      <c r="A107" s="129" t="s">
        <v>2481</v>
      </c>
      <c r="B107" s="130"/>
      <c r="C107" s="130"/>
    </row>
    <row r="108" spans="1:3" x14ac:dyDescent="0.2">
      <c r="A108" s="129" t="s">
        <v>2698</v>
      </c>
      <c r="B108" s="130"/>
      <c r="C108" s="131">
        <f>6200</f>
        <v>6200</v>
      </c>
    </row>
    <row r="109" spans="1:3" x14ac:dyDescent="0.2">
      <c r="A109" s="129" t="s">
        <v>2699</v>
      </c>
      <c r="B109" s="130"/>
      <c r="C109" s="131">
        <f>2625</f>
        <v>2625</v>
      </c>
    </row>
    <row r="110" spans="1:3" x14ac:dyDescent="0.2">
      <c r="A110" s="129" t="s">
        <v>2482</v>
      </c>
      <c r="B110" s="131">
        <f>326.34</f>
        <v>326.33999999999997</v>
      </c>
      <c r="C110" s="131">
        <f>650</f>
        <v>650</v>
      </c>
    </row>
    <row r="111" spans="1:3" x14ac:dyDescent="0.2">
      <c r="A111" s="129" t="s">
        <v>2540</v>
      </c>
      <c r="B111" s="131">
        <f>3270.64</f>
        <v>3270.64</v>
      </c>
      <c r="C111" s="130"/>
    </row>
    <row r="112" spans="1:3" x14ac:dyDescent="0.2">
      <c r="A112" s="129" t="s">
        <v>2483</v>
      </c>
      <c r="B112" s="131">
        <f>14053.84</f>
        <v>14053.84</v>
      </c>
      <c r="C112" s="131">
        <f>16638.51</f>
        <v>16638.509999999998</v>
      </c>
    </row>
    <row r="113" spans="1:3" x14ac:dyDescent="0.2">
      <c r="A113" s="129" t="s">
        <v>2484</v>
      </c>
      <c r="B113" s="132">
        <f>(((((B107)+(B108))+(B109))+(B110))+(B111))+(B112)</f>
        <v>17650.82</v>
      </c>
      <c r="C113" s="132">
        <f>(((((C107)+(C108))+(C109))+(C110))+(C111))+(C112)</f>
        <v>26113.51</v>
      </c>
    </row>
    <row r="114" spans="1:3" x14ac:dyDescent="0.2">
      <c r="A114" s="129" t="s">
        <v>1771</v>
      </c>
      <c r="B114" s="132">
        <f>((((B64)+(B87))+(B99))+(B106))+(B113)</f>
        <v>253736.53000000003</v>
      </c>
      <c r="C114" s="132">
        <f>((((C64)+(C87))+(C99))+(C106))+(C113)</f>
        <v>252595.33</v>
      </c>
    </row>
    <row r="115" spans="1:3" x14ac:dyDescent="0.2">
      <c r="A115" s="129" t="s">
        <v>275</v>
      </c>
      <c r="B115" s="130"/>
      <c r="C115" s="130"/>
    </row>
    <row r="116" spans="1:3" x14ac:dyDescent="0.2">
      <c r="A116" s="129" t="s">
        <v>2061</v>
      </c>
      <c r="B116" s="131">
        <f>1092.9</f>
        <v>1092.9000000000001</v>
      </c>
      <c r="C116" s="131">
        <f>122.14</f>
        <v>122.14</v>
      </c>
    </row>
    <row r="117" spans="1:3" x14ac:dyDescent="0.2">
      <c r="A117" s="129" t="s">
        <v>564</v>
      </c>
      <c r="B117" s="131">
        <f>772.9</f>
        <v>772.9</v>
      </c>
      <c r="C117" s="131">
        <f>1765.94</f>
        <v>1765.94</v>
      </c>
    </row>
    <row r="118" spans="1:3" x14ac:dyDescent="0.2">
      <c r="A118" s="129" t="s">
        <v>277</v>
      </c>
      <c r="B118" s="131">
        <f>6682.36</f>
        <v>6682.36</v>
      </c>
      <c r="C118" s="131">
        <f>4672.41</f>
        <v>4672.41</v>
      </c>
    </row>
    <row r="119" spans="1:3" x14ac:dyDescent="0.2">
      <c r="A119" s="129" t="s">
        <v>397</v>
      </c>
      <c r="B119" s="131">
        <f>69.85</f>
        <v>69.849999999999994</v>
      </c>
      <c r="C119" s="131">
        <f>567.46</f>
        <v>567.46</v>
      </c>
    </row>
    <row r="120" spans="1:3" x14ac:dyDescent="0.2">
      <c r="A120" s="129" t="s">
        <v>398</v>
      </c>
      <c r="B120" s="131">
        <f>2841.44</f>
        <v>2841.44</v>
      </c>
      <c r="C120" s="131">
        <f>1933.18</f>
        <v>1933.18</v>
      </c>
    </row>
    <row r="121" spans="1:3" x14ac:dyDescent="0.2">
      <c r="A121" s="129" t="s">
        <v>518</v>
      </c>
      <c r="B121" s="130"/>
      <c r="C121" s="130"/>
    </row>
    <row r="122" spans="1:3" x14ac:dyDescent="0.2">
      <c r="A122" s="129" t="s">
        <v>361</v>
      </c>
      <c r="B122" s="131">
        <f>521.2</f>
        <v>521.20000000000005</v>
      </c>
      <c r="C122" s="131">
        <f>1088.86</f>
        <v>1088.8599999999999</v>
      </c>
    </row>
    <row r="123" spans="1:3" x14ac:dyDescent="0.2">
      <c r="A123" s="129" t="s">
        <v>516</v>
      </c>
      <c r="B123" s="131">
        <f>813.65</f>
        <v>813.65</v>
      </c>
      <c r="C123" s="131">
        <f>1910.67</f>
        <v>1910.67</v>
      </c>
    </row>
    <row r="124" spans="1:3" x14ac:dyDescent="0.2">
      <c r="A124" s="129" t="s">
        <v>957</v>
      </c>
      <c r="B124" s="131">
        <f>126.48</f>
        <v>126.48</v>
      </c>
      <c r="C124" s="131">
        <f>376.51</f>
        <v>376.51</v>
      </c>
    </row>
    <row r="125" spans="1:3" x14ac:dyDescent="0.2">
      <c r="A125" s="129" t="s">
        <v>592</v>
      </c>
      <c r="B125" s="131">
        <f>1175.42</f>
        <v>1175.42</v>
      </c>
      <c r="C125" s="131">
        <f>1522.24</f>
        <v>1522.24</v>
      </c>
    </row>
    <row r="126" spans="1:3" x14ac:dyDescent="0.2">
      <c r="A126" s="129" t="s">
        <v>519</v>
      </c>
      <c r="B126" s="132">
        <f>((((B121)+(B122))+(B123))+(B124))+(B125)</f>
        <v>2636.75</v>
      </c>
      <c r="C126" s="132">
        <f>((((C121)+(C122))+(C123))+(C124))+(C125)</f>
        <v>4898.28</v>
      </c>
    </row>
    <row r="127" spans="1:3" x14ac:dyDescent="0.2">
      <c r="A127" s="129" t="s">
        <v>331</v>
      </c>
      <c r="B127" s="130"/>
      <c r="C127" s="131">
        <f>907.44</f>
        <v>907.44</v>
      </c>
    </row>
    <row r="128" spans="1:3" x14ac:dyDescent="0.2">
      <c r="A128" s="129" t="s">
        <v>278</v>
      </c>
      <c r="B128" s="130"/>
      <c r="C128" s="130"/>
    </row>
    <row r="129" spans="1:3" x14ac:dyDescent="0.2">
      <c r="A129" s="129" t="s">
        <v>399</v>
      </c>
      <c r="B129" s="131">
        <f>293.25</f>
        <v>293.25</v>
      </c>
      <c r="C129" s="131">
        <f>522.69</f>
        <v>522.69000000000005</v>
      </c>
    </row>
    <row r="130" spans="1:3" x14ac:dyDescent="0.2">
      <c r="A130" s="129" t="s">
        <v>279</v>
      </c>
      <c r="B130" s="131">
        <f>105.09</f>
        <v>105.09</v>
      </c>
      <c r="C130" s="131">
        <f>379.41</f>
        <v>379.41</v>
      </c>
    </row>
    <row r="131" spans="1:3" x14ac:dyDescent="0.2">
      <c r="A131" s="129" t="s">
        <v>280</v>
      </c>
      <c r="B131" s="132">
        <f>((B128)+(B129))+(B130)</f>
        <v>398.34000000000003</v>
      </c>
      <c r="C131" s="132">
        <f>((C128)+(C129))+(C130)</f>
        <v>902.10000000000014</v>
      </c>
    </row>
    <row r="132" spans="1:3" x14ac:dyDescent="0.2">
      <c r="A132" s="129" t="s">
        <v>281</v>
      </c>
      <c r="B132" s="131">
        <f>1697</f>
        <v>1697</v>
      </c>
      <c r="C132" s="131">
        <f>1658.38</f>
        <v>1658.38</v>
      </c>
    </row>
    <row r="133" spans="1:3" x14ac:dyDescent="0.2">
      <c r="A133" s="129" t="s">
        <v>479</v>
      </c>
      <c r="B133" s="131">
        <f>807.8</f>
        <v>807.8</v>
      </c>
      <c r="C133" s="131">
        <f>2078.18</f>
        <v>2078.1799999999998</v>
      </c>
    </row>
    <row r="134" spans="1:3" x14ac:dyDescent="0.2">
      <c r="A134" s="129" t="s">
        <v>400</v>
      </c>
      <c r="B134" s="131">
        <f>1835.59</f>
        <v>1835.59</v>
      </c>
      <c r="C134" s="131">
        <f>1706.92</f>
        <v>1706.92</v>
      </c>
    </row>
    <row r="135" spans="1:3" x14ac:dyDescent="0.2">
      <c r="A135" s="129" t="s">
        <v>401</v>
      </c>
      <c r="B135" s="131">
        <f>1344.2</f>
        <v>1344.2</v>
      </c>
      <c r="C135" s="131">
        <f>669</f>
        <v>669</v>
      </c>
    </row>
    <row r="136" spans="1:3" x14ac:dyDescent="0.2">
      <c r="A136" s="129" t="s">
        <v>282</v>
      </c>
      <c r="B136" s="131">
        <f>30</f>
        <v>30</v>
      </c>
      <c r="C136" s="131">
        <f>170.68</f>
        <v>170.68</v>
      </c>
    </row>
    <row r="137" spans="1:3" x14ac:dyDescent="0.2">
      <c r="A137" s="129" t="s">
        <v>402</v>
      </c>
      <c r="B137" s="131">
        <f>875</f>
        <v>875</v>
      </c>
      <c r="C137" s="131">
        <f>564.79</f>
        <v>564.79</v>
      </c>
    </row>
    <row r="138" spans="1:3" x14ac:dyDescent="0.2">
      <c r="A138" s="129" t="s">
        <v>283</v>
      </c>
      <c r="B138" s="131">
        <f>1937.83</f>
        <v>1937.83</v>
      </c>
      <c r="C138" s="131">
        <f>4128.47</f>
        <v>4128.47</v>
      </c>
    </row>
    <row r="139" spans="1:3" x14ac:dyDescent="0.2">
      <c r="A139" s="129" t="s">
        <v>403</v>
      </c>
      <c r="B139" s="131">
        <f>38.88</f>
        <v>38.880000000000003</v>
      </c>
      <c r="C139" s="131">
        <f>728.62</f>
        <v>728.62</v>
      </c>
    </row>
    <row r="140" spans="1:3" x14ac:dyDescent="0.2">
      <c r="A140" s="129" t="s">
        <v>404</v>
      </c>
      <c r="B140" s="130"/>
      <c r="C140" s="130"/>
    </row>
    <row r="141" spans="1:3" x14ac:dyDescent="0.2">
      <c r="A141" s="129" t="s">
        <v>405</v>
      </c>
      <c r="B141" s="131">
        <f>539.98</f>
        <v>539.98</v>
      </c>
      <c r="C141" s="131">
        <f>2492.79</f>
        <v>2492.79</v>
      </c>
    </row>
    <row r="142" spans="1:3" x14ac:dyDescent="0.2">
      <c r="A142" s="129" t="s">
        <v>406</v>
      </c>
      <c r="B142" s="131">
        <f>904.77</f>
        <v>904.77</v>
      </c>
      <c r="C142" s="131">
        <f>419.74</f>
        <v>419.74</v>
      </c>
    </row>
    <row r="143" spans="1:3" x14ac:dyDescent="0.2">
      <c r="A143" s="129" t="s">
        <v>407</v>
      </c>
      <c r="B143" s="132">
        <f>((B140)+(B141))+(B142)</f>
        <v>1444.75</v>
      </c>
      <c r="C143" s="132">
        <f>((C140)+(C141))+(C142)</f>
        <v>2912.5299999999997</v>
      </c>
    </row>
    <row r="144" spans="1:3" x14ac:dyDescent="0.2">
      <c r="A144" s="129" t="s">
        <v>408</v>
      </c>
      <c r="B144" s="130"/>
      <c r="C144" s="130"/>
    </row>
    <row r="145" spans="1:3" x14ac:dyDescent="0.2">
      <c r="A145" s="129" t="s">
        <v>409</v>
      </c>
      <c r="B145" s="131">
        <f>465.32</f>
        <v>465.32</v>
      </c>
      <c r="C145" s="131">
        <f>6059.83</f>
        <v>6059.83</v>
      </c>
    </row>
    <row r="146" spans="1:3" x14ac:dyDescent="0.2">
      <c r="A146" s="129" t="s">
        <v>411</v>
      </c>
      <c r="B146" s="132">
        <f>(B144)+(B145)</f>
        <v>465.32</v>
      </c>
      <c r="C146" s="132">
        <f>(C144)+(C145)</f>
        <v>6059.83</v>
      </c>
    </row>
    <row r="147" spans="1:3" x14ac:dyDescent="0.2">
      <c r="A147" s="129" t="s">
        <v>412</v>
      </c>
      <c r="B147" s="130"/>
      <c r="C147" s="130"/>
    </row>
    <row r="148" spans="1:3" x14ac:dyDescent="0.2">
      <c r="A148" s="129" t="s">
        <v>413</v>
      </c>
      <c r="B148" s="131">
        <f>444.05</f>
        <v>444.05</v>
      </c>
      <c r="C148" s="131">
        <f>921.81</f>
        <v>921.81</v>
      </c>
    </row>
    <row r="149" spans="1:3" x14ac:dyDescent="0.2">
      <c r="A149" s="129" t="s">
        <v>414</v>
      </c>
      <c r="B149" s="132">
        <f>(B147)+(B148)</f>
        <v>444.05</v>
      </c>
      <c r="C149" s="132">
        <f>(C147)+(C148)</f>
        <v>921.81</v>
      </c>
    </row>
    <row r="150" spans="1:3" x14ac:dyDescent="0.2">
      <c r="A150" s="129" t="s">
        <v>415</v>
      </c>
      <c r="B150" s="130"/>
      <c r="C150" s="130"/>
    </row>
    <row r="151" spans="1:3" x14ac:dyDescent="0.2">
      <c r="A151" s="129" t="s">
        <v>416</v>
      </c>
      <c r="B151" s="131">
        <f>13307.65</f>
        <v>13307.65</v>
      </c>
      <c r="C151" s="131">
        <f>18784.41</f>
        <v>18784.41</v>
      </c>
    </row>
    <row r="152" spans="1:3" x14ac:dyDescent="0.2">
      <c r="A152" s="129" t="s">
        <v>417</v>
      </c>
      <c r="B152" s="131">
        <f>1411.43</f>
        <v>1411.43</v>
      </c>
      <c r="C152" s="131">
        <f>2481.31</f>
        <v>2481.31</v>
      </c>
    </row>
    <row r="153" spans="1:3" x14ac:dyDescent="0.2">
      <c r="A153" s="129" t="s">
        <v>418</v>
      </c>
      <c r="B153" s="131">
        <f>1385.26</f>
        <v>1385.26</v>
      </c>
      <c r="C153" s="131">
        <f>1442.82</f>
        <v>1442.82</v>
      </c>
    </row>
    <row r="154" spans="1:3" x14ac:dyDescent="0.2">
      <c r="A154" s="129" t="s">
        <v>480</v>
      </c>
      <c r="B154" s="131">
        <f>7250</f>
        <v>7250</v>
      </c>
      <c r="C154" s="131">
        <f>567.25</f>
        <v>567.25</v>
      </c>
    </row>
    <row r="155" spans="1:3" x14ac:dyDescent="0.2">
      <c r="A155" s="129" t="s">
        <v>419</v>
      </c>
      <c r="B155" s="132">
        <f>((((B150)+(B151))+(B152))+(B153))+(B154)</f>
        <v>23354.34</v>
      </c>
      <c r="C155" s="132">
        <f>((((C150)+(C151))+(C152))+(C153))+(C154)</f>
        <v>23275.79</v>
      </c>
    </row>
    <row r="156" spans="1:3" x14ac:dyDescent="0.2">
      <c r="A156" s="129" t="s">
        <v>467</v>
      </c>
      <c r="B156" s="130"/>
      <c r="C156" s="131">
        <f>320</f>
        <v>320</v>
      </c>
    </row>
    <row r="157" spans="1:3" x14ac:dyDescent="0.2">
      <c r="A157" s="129" t="s">
        <v>284</v>
      </c>
      <c r="B157" s="131">
        <f>64.8</f>
        <v>64.8</v>
      </c>
      <c r="C157" s="131">
        <f>1281.17</f>
        <v>1281.17</v>
      </c>
    </row>
    <row r="158" spans="1:3" x14ac:dyDescent="0.2">
      <c r="A158" s="129" t="s">
        <v>285</v>
      </c>
      <c r="B158" s="132">
        <f>((((((((((((((((((((((B115)+(B116))+(B117))+(B118))+(B119))+(B120))+(B126))+(B127))+(B131))+(B132))+(B133))+(B134))+(B135))+(B136))+(B137))+(B138))+(B139))+(B143))+(B146))+(B149))+(B155))+(B156))+(B157)</f>
        <v>48834.100000000006</v>
      </c>
      <c r="C158" s="132">
        <f>((((((((((((((((((((((C115)+(C116))+(C117))+(C118))+(C119))+(C120))+(C126))+(C127))+(C131))+(C132))+(C133))+(C134))+(C135))+(C136))+(C137))+(C138))+(C139))+(C143))+(C146))+(C149))+(C155))+(C156))+(C157)</f>
        <v>62245.119999999995</v>
      </c>
    </row>
    <row r="159" spans="1:3" x14ac:dyDescent="0.2">
      <c r="A159" s="129" t="s">
        <v>286</v>
      </c>
      <c r="B159" s="130"/>
      <c r="C159" s="130"/>
    </row>
    <row r="160" spans="1:3" x14ac:dyDescent="0.2">
      <c r="A160" s="129" t="s">
        <v>287</v>
      </c>
      <c r="B160" s="130"/>
      <c r="C160" s="130"/>
    </row>
    <row r="161" spans="1:3" x14ac:dyDescent="0.2">
      <c r="A161" s="129" t="s">
        <v>420</v>
      </c>
      <c r="B161" s="131">
        <f>838.43</f>
        <v>838.43</v>
      </c>
      <c r="C161" s="131">
        <f>967</f>
        <v>967</v>
      </c>
    </row>
    <row r="162" spans="1:3" x14ac:dyDescent="0.2">
      <c r="A162" s="129" t="s">
        <v>288</v>
      </c>
      <c r="B162" s="131">
        <f>12058.07</f>
        <v>12058.07</v>
      </c>
      <c r="C162" s="131">
        <f>17008.61</f>
        <v>17008.61</v>
      </c>
    </row>
    <row r="163" spans="1:3" x14ac:dyDescent="0.2">
      <c r="A163" s="129" t="s">
        <v>289</v>
      </c>
      <c r="B163" s="132">
        <f>((B160)+(B161))+(B162)</f>
        <v>12896.5</v>
      </c>
      <c r="C163" s="132">
        <f>((C160)+(C161))+(C162)</f>
        <v>17975.61</v>
      </c>
    </row>
    <row r="164" spans="1:3" x14ac:dyDescent="0.2">
      <c r="A164" s="129" t="s">
        <v>290</v>
      </c>
      <c r="B164" s="130"/>
      <c r="C164" s="130"/>
    </row>
    <row r="165" spans="1:3" x14ac:dyDescent="0.2">
      <c r="A165" s="129" t="s">
        <v>291</v>
      </c>
      <c r="B165" s="131">
        <f>2506.2</f>
        <v>2506.1999999999998</v>
      </c>
      <c r="C165" s="131">
        <f>2691.98</f>
        <v>2691.98</v>
      </c>
    </row>
    <row r="166" spans="1:3" x14ac:dyDescent="0.2">
      <c r="A166" s="129" t="s">
        <v>421</v>
      </c>
      <c r="B166" s="131">
        <f>5377.34</f>
        <v>5377.34</v>
      </c>
      <c r="C166" s="131">
        <f>2669.05</f>
        <v>2669.05</v>
      </c>
    </row>
    <row r="167" spans="1:3" x14ac:dyDescent="0.2">
      <c r="A167" s="129" t="s">
        <v>422</v>
      </c>
      <c r="B167" s="131">
        <f>2673.76</f>
        <v>2673.76</v>
      </c>
      <c r="C167" s="131">
        <f>3398.42</f>
        <v>3398.42</v>
      </c>
    </row>
    <row r="168" spans="1:3" x14ac:dyDescent="0.2">
      <c r="A168" s="129" t="s">
        <v>292</v>
      </c>
      <c r="B168" s="132">
        <f>(((B164)+(B165))+(B166))+(B167)</f>
        <v>10557.3</v>
      </c>
      <c r="C168" s="132">
        <f>(((C164)+(C165))+(C166))+(C167)</f>
        <v>8759.4500000000007</v>
      </c>
    </row>
    <row r="169" spans="1:3" x14ac:dyDescent="0.2">
      <c r="A169" s="129" t="s">
        <v>2700</v>
      </c>
      <c r="B169" s="130"/>
      <c r="C169" s="131">
        <f>79.95</f>
        <v>79.95</v>
      </c>
    </row>
    <row r="170" spans="1:3" x14ac:dyDescent="0.2">
      <c r="A170" s="129" t="s">
        <v>1772</v>
      </c>
      <c r="B170" s="131">
        <f>3274.6</f>
        <v>3274.6</v>
      </c>
      <c r="C170" s="130"/>
    </row>
    <row r="171" spans="1:3" x14ac:dyDescent="0.2">
      <c r="A171" s="129" t="s">
        <v>423</v>
      </c>
      <c r="B171" s="130"/>
      <c r="C171" s="130"/>
    </row>
    <row r="172" spans="1:3" x14ac:dyDescent="0.2">
      <c r="A172" s="129" t="s">
        <v>424</v>
      </c>
      <c r="B172" s="131">
        <f>1353.01</f>
        <v>1353.01</v>
      </c>
      <c r="C172" s="131">
        <f>706.98</f>
        <v>706.98</v>
      </c>
    </row>
    <row r="173" spans="1:3" x14ac:dyDescent="0.2">
      <c r="A173" s="129" t="s">
        <v>425</v>
      </c>
      <c r="B173" s="131">
        <f>711.52</f>
        <v>711.52</v>
      </c>
      <c r="C173" s="130"/>
    </row>
    <row r="174" spans="1:3" x14ac:dyDescent="0.2">
      <c r="A174" s="129" t="s">
        <v>426</v>
      </c>
      <c r="B174" s="130"/>
      <c r="C174" s="131">
        <f>310.16</f>
        <v>310.16000000000003</v>
      </c>
    </row>
    <row r="175" spans="1:3" x14ac:dyDescent="0.2">
      <c r="A175" s="129" t="s">
        <v>428</v>
      </c>
      <c r="B175" s="131">
        <f>1426.76</f>
        <v>1426.76</v>
      </c>
      <c r="C175" s="131">
        <f>2921.66</f>
        <v>2921.66</v>
      </c>
    </row>
    <row r="176" spans="1:3" x14ac:dyDescent="0.2">
      <c r="A176" s="129" t="s">
        <v>481</v>
      </c>
      <c r="B176" s="131">
        <f>225</f>
        <v>225</v>
      </c>
      <c r="C176" s="130"/>
    </row>
    <row r="177" spans="1:3" x14ac:dyDescent="0.2">
      <c r="A177" s="129" t="s">
        <v>430</v>
      </c>
      <c r="B177" s="132">
        <f>(((((B171)+(B172))+(B173))+(B174))+(B175))+(B176)</f>
        <v>3716.29</v>
      </c>
      <c r="C177" s="132">
        <f>(((((C171)+(C172))+(C173))+(C174))+(C175))+(C176)</f>
        <v>3938.8</v>
      </c>
    </row>
    <row r="178" spans="1:3" x14ac:dyDescent="0.2">
      <c r="A178" s="129" t="s">
        <v>431</v>
      </c>
      <c r="B178" s="130"/>
      <c r="C178" s="130"/>
    </row>
    <row r="179" spans="1:3" x14ac:dyDescent="0.2">
      <c r="A179" s="129" t="s">
        <v>432</v>
      </c>
      <c r="B179" s="131">
        <f>1360.03</f>
        <v>1360.03</v>
      </c>
      <c r="C179" s="131">
        <f>112.03</f>
        <v>112.03</v>
      </c>
    </row>
    <row r="180" spans="1:3" x14ac:dyDescent="0.2">
      <c r="A180" s="129" t="s">
        <v>509</v>
      </c>
      <c r="B180" s="130"/>
      <c r="C180" s="131">
        <f>405</f>
        <v>405</v>
      </c>
    </row>
    <row r="181" spans="1:3" x14ac:dyDescent="0.2">
      <c r="A181" s="129" t="s">
        <v>434</v>
      </c>
      <c r="B181" s="131">
        <f>3083.51</f>
        <v>3083.51</v>
      </c>
      <c r="C181" s="131">
        <f>4100</f>
        <v>4100</v>
      </c>
    </row>
    <row r="182" spans="1:3" x14ac:dyDescent="0.2">
      <c r="A182" s="129" t="s">
        <v>435</v>
      </c>
      <c r="B182" s="131">
        <f>1468.51</f>
        <v>1468.51</v>
      </c>
      <c r="C182" s="131">
        <f>1687.82</f>
        <v>1687.82</v>
      </c>
    </row>
    <row r="183" spans="1:3" x14ac:dyDescent="0.2">
      <c r="A183" s="129" t="s">
        <v>436</v>
      </c>
      <c r="B183" s="131">
        <f>550</f>
        <v>550</v>
      </c>
      <c r="C183" s="131">
        <f>654.91</f>
        <v>654.91</v>
      </c>
    </row>
    <row r="184" spans="1:3" x14ac:dyDescent="0.2">
      <c r="A184" s="129" t="s">
        <v>437</v>
      </c>
      <c r="B184" s="131">
        <f>7699.7</f>
        <v>7699.7</v>
      </c>
      <c r="C184" s="131">
        <f>7513</f>
        <v>7513</v>
      </c>
    </row>
    <row r="185" spans="1:3" x14ac:dyDescent="0.2">
      <c r="A185" s="129" t="s">
        <v>438</v>
      </c>
      <c r="B185" s="131">
        <f>5573.82</f>
        <v>5573.82</v>
      </c>
      <c r="C185" s="131">
        <f>3813.05</f>
        <v>3813.05</v>
      </c>
    </row>
    <row r="186" spans="1:3" x14ac:dyDescent="0.2">
      <c r="A186" s="129" t="s">
        <v>439</v>
      </c>
      <c r="B186" s="131">
        <f>1763.74</f>
        <v>1763.74</v>
      </c>
      <c r="C186" s="131">
        <f>863.63</f>
        <v>863.63</v>
      </c>
    </row>
    <row r="187" spans="1:3" x14ac:dyDescent="0.2">
      <c r="A187" s="129" t="s">
        <v>440</v>
      </c>
      <c r="B187" s="132">
        <f>((((((((B178)+(B179))+(B180))+(B181))+(B182))+(B183))+(B184))+(B185))+(B186)</f>
        <v>21499.31</v>
      </c>
      <c r="C187" s="132">
        <f>((((((((C178)+(C179))+(C180))+(C181))+(C182))+(C183))+(C184))+(C185))+(C186)</f>
        <v>19149.439999999999</v>
      </c>
    </row>
    <row r="188" spans="1:3" x14ac:dyDescent="0.2">
      <c r="A188" s="129" t="s">
        <v>293</v>
      </c>
      <c r="B188" s="132">
        <f>((((((B159)+(B163))+(B168))+(B169))+(B170))+(B177))+(B187)</f>
        <v>51944</v>
      </c>
      <c r="C188" s="132">
        <f>((((((C159)+(C163))+(C168))+(C169))+(C170))+(C177))+(C187)</f>
        <v>49903.25</v>
      </c>
    </row>
    <row r="189" spans="1:3" x14ac:dyDescent="0.2">
      <c r="A189" s="129" t="s">
        <v>294</v>
      </c>
      <c r="B189" s="132">
        <f>(((B63)+(B114))+(B158))+(B188)</f>
        <v>354514.63</v>
      </c>
      <c r="C189" s="132">
        <f>(((C63)+(C114))+(C158))+(C188)</f>
        <v>364743.69999999995</v>
      </c>
    </row>
    <row r="190" spans="1:3" x14ac:dyDescent="0.2">
      <c r="A190" s="129" t="s">
        <v>295</v>
      </c>
      <c r="B190" s="130"/>
      <c r="C190" s="130"/>
    </row>
    <row r="191" spans="1:3" x14ac:dyDescent="0.2">
      <c r="A191" s="129" t="s">
        <v>296</v>
      </c>
      <c r="B191" s="130"/>
      <c r="C191" s="130"/>
    </row>
    <row r="192" spans="1:3" x14ac:dyDescent="0.2">
      <c r="A192" s="129" t="s">
        <v>297</v>
      </c>
      <c r="B192" s="130"/>
      <c r="C192" s="130"/>
    </row>
    <row r="193" spans="1:3" x14ac:dyDescent="0.2">
      <c r="A193" s="129" t="s">
        <v>505</v>
      </c>
      <c r="B193" s="130"/>
      <c r="C193" s="130"/>
    </row>
    <row r="194" spans="1:3" x14ac:dyDescent="0.2">
      <c r="A194" s="129" t="s">
        <v>517</v>
      </c>
      <c r="B194" s="131">
        <f>34499.92</f>
        <v>34499.919999999998</v>
      </c>
      <c r="C194" s="131">
        <f>34547.68</f>
        <v>34547.68</v>
      </c>
    </row>
    <row r="195" spans="1:3" x14ac:dyDescent="0.2">
      <c r="A195" s="129" t="s">
        <v>698</v>
      </c>
      <c r="B195" s="131">
        <f>17500.08</f>
        <v>17500.080000000002</v>
      </c>
      <c r="C195" s="131">
        <f>17387.16</f>
        <v>17387.16</v>
      </c>
    </row>
    <row r="196" spans="1:3" x14ac:dyDescent="0.2">
      <c r="A196" s="129" t="s">
        <v>513</v>
      </c>
      <c r="B196" s="131">
        <f>3978</f>
        <v>3978</v>
      </c>
      <c r="C196" s="131">
        <f>3966.24</f>
        <v>3966.24</v>
      </c>
    </row>
    <row r="197" spans="1:3" x14ac:dyDescent="0.2">
      <c r="A197" s="129" t="s">
        <v>958</v>
      </c>
      <c r="B197" s="131">
        <f>32231.66</f>
        <v>32231.66</v>
      </c>
      <c r="C197" s="131">
        <f>33322.3</f>
        <v>33322.300000000003</v>
      </c>
    </row>
    <row r="198" spans="1:3" x14ac:dyDescent="0.2">
      <c r="A198" s="129" t="s">
        <v>507</v>
      </c>
      <c r="B198" s="131">
        <f>2922.94</f>
        <v>2922.94</v>
      </c>
      <c r="C198" s="131">
        <f>851.42</f>
        <v>851.42</v>
      </c>
    </row>
    <row r="199" spans="1:3" x14ac:dyDescent="0.2">
      <c r="A199" s="129" t="s">
        <v>1132</v>
      </c>
      <c r="B199" s="131">
        <f>2334.22</f>
        <v>2334.2199999999998</v>
      </c>
      <c r="C199" s="131">
        <f>5338.32</f>
        <v>5338.32</v>
      </c>
    </row>
    <row r="200" spans="1:3" x14ac:dyDescent="0.2">
      <c r="A200" s="129" t="s">
        <v>1133</v>
      </c>
      <c r="B200" s="131">
        <f>1119.39</f>
        <v>1119.3900000000001</v>
      </c>
      <c r="C200" s="131">
        <f>1142.78</f>
        <v>1142.78</v>
      </c>
    </row>
    <row r="201" spans="1:3" x14ac:dyDescent="0.2">
      <c r="A201" s="129" t="s">
        <v>959</v>
      </c>
      <c r="B201" s="131">
        <f>992.58</f>
        <v>992.58</v>
      </c>
      <c r="C201" s="130"/>
    </row>
    <row r="202" spans="1:3" x14ac:dyDescent="0.2">
      <c r="A202" s="129" t="s">
        <v>506</v>
      </c>
      <c r="B202" s="132">
        <f>((((((((B193)+(B194))+(B195))+(B196))+(B197))+(B198))+(B199))+(B200))+(B201)</f>
        <v>95578.790000000008</v>
      </c>
      <c r="C202" s="132">
        <f>((((((((C193)+(C194))+(C195))+(C196))+(C197))+(C198))+(C199))+(C200))+(C201)</f>
        <v>96555.9</v>
      </c>
    </row>
    <row r="203" spans="1:3" x14ac:dyDescent="0.2">
      <c r="A203" s="129" t="s">
        <v>298</v>
      </c>
      <c r="B203" s="132">
        <f>(B192)+(B202)</f>
        <v>95578.790000000008</v>
      </c>
      <c r="C203" s="132">
        <f>(C192)+(C202)</f>
        <v>96555.9</v>
      </c>
    </row>
    <row r="204" spans="1:3" x14ac:dyDescent="0.2">
      <c r="A204" s="129" t="s">
        <v>299</v>
      </c>
      <c r="B204" s="130"/>
      <c r="C204" s="130"/>
    </row>
    <row r="205" spans="1:3" x14ac:dyDescent="0.2">
      <c r="A205" s="129" t="s">
        <v>300</v>
      </c>
      <c r="B205" s="131">
        <f>15083.72</f>
        <v>15083.72</v>
      </c>
      <c r="C205" s="131">
        <f>15217.14</f>
        <v>15217.14</v>
      </c>
    </row>
    <row r="206" spans="1:3" x14ac:dyDescent="0.2">
      <c r="A206" s="129" t="s">
        <v>1444</v>
      </c>
      <c r="B206" s="131">
        <f>520.02</f>
        <v>520.02</v>
      </c>
      <c r="C206" s="131">
        <f>888.96</f>
        <v>888.96</v>
      </c>
    </row>
    <row r="207" spans="1:3" x14ac:dyDescent="0.2">
      <c r="A207" s="129" t="s">
        <v>563</v>
      </c>
      <c r="B207" s="131">
        <f>2497.94</f>
        <v>2497.94</v>
      </c>
      <c r="C207" s="131">
        <f>1303.33</f>
        <v>1303.33</v>
      </c>
    </row>
    <row r="208" spans="1:3" x14ac:dyDescent="0.2">
      <c r="A208" s="129" t="s">
        <v>441</v>
      </c>
      <c r="B208" s="131">
        <f>1545.73</f>
        <v>1545.73</v>
      </c>
      <c r="C208" s="131">
        <f>1712.67</f>
        <v>1712.67</v>
      </c>
    </row>
    <row r="209" spans="1:3" x14ac:dyDescent="0.2">
      <c r="A209" s="129" t="s">
        <v>301</v>
      </c>
      <c r="B209" s="132">
        <f>((((B204)+(B205))+(B206))+(B207))+(B208)</f>
        <v>19647.41</v>
      </c>
      <c r="C209" s="132">
        <f>((((C204)+(C205))+(C206))+(C207))+(C208)</f>
        <v>19122.099999999999</v>
      </c>
    </row>
    <row r="210" spans="1:3" x14ac:dyDescent="0.2">
      <c r="A210" s="129" t="s">
        <v>594</v>
      </c>
      <c r="B210" s="130"/>
      <c r="C210" s="130"/>
    </row>
    <row r="211" spans="1:3" x14ac:dyDescent="0.2">
      <c r="A211" s="129" t="s">
        <v>600</v>
      </c>
      <c r="B211" s="131">
        <f>11527.04</f>
        <v>11527.04</v>
      </c>
      <c r="C211" s="131">
        <f>15942.15</f>
        <v>15942.15</v>
      </c>
    </row>
    <row r="212" spans="1:3" x14ac:dyDescent="0.2">
      <c r="A212" s="129" t="s">
        <v>639</v>
      </c>
      <c r="B212" s="131">
        <f>8072.78</f>
        <v>8072.78</v>
      </c>
      <c r="C212" s="131">
        <f>9487.26</f>
        <v>9487.26</v>
      </c>
    </row>
    <row r="213" spans="1:3" x14ac:dyDescent="0.2">
      <c r="A213" s="129" t="s">
        <v>1265</v>
      </c>
      <c r="B213" s="131">
        <f>483.96</f>
        <v>483.96</v>
      </c>
      <c r="C213" s="131">
        <f>15.32</f>
        <v>15.32</v>
      </c>
    </row>
    <row r="214" spans="1:3" x14ac:dyDescent="0.2">
      <c r="A214" s="129" t="s">
        <v>694</v>
      </c>
      <c r="B214" s="131">
        <f>1435.04</f>
        <v>1435.04</v>
      </c>
      <c r="C214" s="131">
        <f>1723.59</f>
        <v>1723.59</v>
      </c>
    </row>
    <row r="215" spans="1:3" x14ac:dyDescent="0.2">
      <c r="A215" s="129" t="s">
        <v>757</v>
      </c>
      <c r="B215" s="131">
        <f>932.8</f>
        <v>932.8</v>
      </c>
      <c r="C215" s="131">
        <f>793.09</f>
        <v>793.09</v>
      </c>
    </row>
    <row r="216" spans="1:3" x14ac:dyDescent="0.2">
      <c r="A216" s="129" t="s">
        <v>455</v>
      </c>
      <c r="B216" s="131">
        <f>165.5</f>
        <v>165.5</v>
      </c>
      <c r="C216" s="131">
        <f>966.1</f>
        <v>966.1</v>
      </c>
    </row>
    <row r="217" spans="1:3" x14ac:dyDescent="0.2">
      <c r="A217" s="129" t="s">
        <v>601</v>
      </c>
      <c r="B217" s="132">
        <f>((((((B210)+(B211))+(B212))+(B213))+(B214))+(B215))+(B216)</f>
        <v>22617.119999999999</v>
      </c>
      <c r="C217" s="132">
        <f>((((((C210)+(C211))+(C212))+(C213))+(C214))+(C215))+(C216)</f>
        <v>28927.51</v>
      </c>
    </row>
    <row r="218" spans="1:3" x14ac:dyDescent="0.2">
      <c r="A218" s="129" t="s">
        <v>2701</v>
      </c>
      <c r="B218" s="130"/>
      <c r="C218" s="130"/>
    </row>
    <row r="219" spans="1:3" x14ac:dyDescent="0.2">
      <c r="A219" s="129" t="s">
        <v>2702</v>
      </c>
      <c r="B219" s="130"/>
      <c r="C219" s="131">
        <f>0</f>
        <v>0</v>
      </c>
    </row>
    <row r="220" spans="1:3" x14ac:dyDescent="0.2">
      <c r="A220" s="129" t="s">
        <v>2703</v>
      </c>
      <c r="B220" s="132">
        <f>(B218)+(B219)</f>
        <v>0</v>
      </c>
      <c r="C220" s="132">
        <f>(C218)+(C219)</f>
        <v>0</v>
      </c>
    </row>
    <row r="221" spans="1:3" x14ac:dyDescent="0.2">
      <c r="A221" s="129" t="s">
        <v>303</v>
      </c>
      <c r="B221" s="130"/>
      <c r="C221" s="130"/>
    </row>
    <row r="222" spans="1:3" x14ac:dyDescent="0.2">
      <c r="A222" s="129" t="s">
        <v>304</v>
      </c>
      <c r="B222" s="131">
        <f>800.6</f>
        <v>800.6</v>
      </c>
      <c r="C222" s="131">
        <f>671.8</f>
        <v>671.8</v>
      </c>
    </row>
    <row r="223" spans="1:3" x14ac:dyDescent="0.2">
      <c r="A223" s="129" t="s">
        <v>442</v>
      </c>
      <c r="B223" s="131">
        <f>2081.82</f>
        <v>2081.8200000000002</v>
      </c>
      <c r="C223" s="131">
        <f>2024.81</f>
        <v>2024.81</v>
      </c>
    </row>
    <row r="224" spans="1:3" x14ac:dyDescent="0.2">
      <c r="A224" s="129" t="s">
        <v>2704</v>
      </c>
      <c r="B224" s="130"/>
      <c r="C224" s="131">
        <f>197.78</f>
        <v>197.78</v>
      </c>
    </row>
    <row r="225" spans="1:3" x14ac:dyDescent="0.2">
      <c r="A225" s="129" t="s">
        <v>763</v>
      </c>
      <c r="B225" s="131">
        <f>167.32</f>
        <v>167.32</v>
      </c>
      <c r="C225" s="131">
        <f>897.34</f>
        <v>897.34</v>
      </c>
    </row>
    <row r="226" spans="1:3" x14ac:dyDescent="0.2">
      <c r="A226" s="129" t="s">
        <v>2327</v>
      </c>
      <c r="B226" s="131">
        <f>21.6</f>
        <v>21.6</v>
      </c>
      <c r="C226" s="131">
        <f>1582.37</f>
        <v>1582.37</v>
      </c>
    </row>
    <row r="227" spans="1:3" x14ac:dyDescent="0.2">
      <c r="A227" s="129" t="s">
        <v>305</v>
      </c>
      <c r="B227" s="132">
        <f>(((((B221)+(B222))+(B223))+(B224))+(B225))+(B226)</f>
        <v>3071.34</v>
      </c>
      <c r="C227" s="132">
        <f>(((((C221)+(C222))+(C223))+(C224))+(C225))+(C226)</f>
        <v>5374.1</v>
      </c>
    </row>
    <row r="228" spans="1:3" x14ac:dyDescent="0.2">
      <c r="A228" s="129" t="s">
        <v>306</v>
      </c>
      <c r="B228" s="132">
        <f>(((((B191)+(B203))+(B209))+(B217))+(B220))+(B227)</f>
        <v>140914.66</v>
      </c>
      <c r="C228" s="132">
        <f>(((((C191)+(C203))+(C209))+(C217))+(C220))+(C227)</f>
        <v>149979.61000000002</v>
      </c>
    </row>
    <row r="229" spans="1:3" x14ac:dyDescent="0.2">
      <c r="A229" s="129" t="s">
        <v>444</v>
      </c>
      <c r="B229" s="130"/>
      <c r="C229" s="130"/>
    </row>
    <row r="230" spans="1:3" x14ac:dyDescent="0.2">
      <c r="A230" s="129" t="s">
        <v>510</v>
      </c>
      <c r="B230" s="131">
        <f>73762.51</f>
        <v>73762.509999999995</v>
      </c>
      <c r="C230" s="131">
        <f>51900</f>
        <v>51900</v>
      </c>
    </row>
    <row r="231" spans="1:3" x14ac:dyDescent="0.2">
      <c r="A231" s="129" t="s">
        <v>448</v>
      </c>
      <c r="B231" s="131">
        <f>82500</f>
        <v>82500</v>
      </c>
      <c r="C231" s="131">
        <f>90000</f>
        <v>90000</v>
      </c>
    </row>
    <row r="232" spans="1:3" x14ac:dyDescent="0.2">
      <c r="A232" s="129" t="s">
        <v>449</v>
      </c>
      <c r="B232" s="130"/>
      <c r="C232" s="130"/>
    </row>
    <row r="233" spans="1:3" x14ac:dyDescent="0.2">
      <c r="A233" s="129" t="s">
        <v>473</v>
      </c>
      <c r="B233" s="131">
        <f>420</f>
        <v>420</v>
      </c>
      <c r="C233" s="131">
        <f>225.48</f>
        <v>225.48</v>
      </c>
    </row>
    <row r="234" spans="1:3" x14ac:dyDescent="0.2">
      <c r="A234" s="129" t="s">
        <v>475</v>
      </c>
      <c r="B234" s="131">
        <f>133.29</f>
        <v>133.29</v>
      </c>
      <c r="C234" s="131">
        <f>149</f>
        <v>149</v>
      </c>
    </row>
    <row r="235" spans="1:3" x14ac:dyDescent="0.2">
      <c r="A235" s="129" t="s">
        <v>450</v>
      </c>
      <c r="B235" s="132">
        <f>((B232)+(B233))+(B234)</f>
        <v>553.29</v>
      </c>
      <c r="C235" s="132">
        <f>((C232)+(C233))+(C234)</f>
        <v>374.48</v>
      </c>
    </row>
    <row r="236" spans="1:3" x14ac:dyDescent="0.2">
      <c r="A236" s="129" t="s">
        <v>451</v>
      </c>
      <c r="B236" s="132">
        <f>(((B229)+(B230))+(B231))+(B235)</f>
        <v>156815.80000000002</v>
      </c>
      <c r="C236" s="132">
        <f>(((C229)+(C230))+(C231))+(C235)</f>
        <v>142274.48000000001</v>
      </c>
    </row>
    <row r="237" spans="1:3" x14ac:dyDescent="0.2">
      <c r="A237" s="129" t="s">
        <v>307</v>
      </c>
      <c r="B237" s="130"/>
      <c r="C237" s="130"/>
    </row>
    <row r="238" spans="1:3" x14ac:dyDescent="0.2">
      <c r="A238" s="129" t="s">
        <v>308</v>
      </c>
      <c r="B238" s="130"/>
      <c r="C238" s="130"/>
    </row>
    <row r="239" spans="1:3" x14ac:dyDescent="0.2">
      <c r="A239" s="129" t="s">
        <v>311</v>
      </c>
      <c r="B239" s="131">
        <f>854.58</f>
        <v>854.58</v>
      </c>
      <c r="C239" s="131">
        <f>771.57</f>
        <v>771.57</v>
      </c>
    </row>
    <row r="240" spans="1:3" x14ac:dyDescent="0.2">
      <c r="A240" s="129" t="s">
        <v>575</v>
      </c>
      <c r="B240" s="131">
        <f>524.14</f>
        <v>524.14</v>
      </c>
      <c r="C240" s="131">
        <f>627.09</f>
        <v>627.09</v>
      </c>
    </row>
    <row r="241" spans="1:3" x14ac:dyDescent="0.2">
      <c r="A241" s="129" t="s">
        <v>312</v>
      </c>
      <c r="B241" s="131">
        <f>601.35</f>
        <v>601.35</v>
      </c>
      <c r="C241" s="131">
        <f>550</f>
        <v>550</v>
      </c>
    </row>
    <row r="242" spans="1:3" x14ac:dyDescent="0.2">
      <c r="A242" s="129" t="s">
        <v>315</v>
      </c>
      <c r="B242" s="131">
        <f>4930.11</f>
        <v>4930.1099999999997</v>
      </c>
      <c r="C242" s="131">
        <f>6643.98</f>
        <v>6643.98</v>
      </c>
    </row>
    <row r="243" spans="1:3" x14ac:dyDescent="0.2">
      <c r="A243" s="129" t="s">
        <v>2677</v>
      </c>
      <c r="B243" s="131">
        <f>1262.68</f>
        <v>1262.68</v>
      </c>
      <c r="C243" s="131">
        <f>0</f>
        <v>0</v>
      </c>
    </row>
    <row r="244" spans="1:3" x14ac:dyDescent="0.2">
      <c r="A244" s="129" t="s">
        <v>316</v>
      </c>
      <c r="B244" s="131">
        <f>300</f>
        <v>300</v>
      </c>
      <c r="C244" s="130"/>
    </row>
    <row r="245" spans="1:3" x14ac:dyDescent="0.2">
      <c r="A245" s="129" t="s">
        <v>317</v>
      </c>
      <c r="B245" s="131">
        <f>405.59</f>
        <v>405.59</v>
      </c>
      <c r="C245" s="131">
        <f>1608.47</f>
        <v>1608.47</v>
      </c>
    </row>
    <row r="246" spans="1:3" x14ac:dyDescent="0.2">
      <c r="A246" s="129" t="s">
        <v>2328</v>
      </c>
      <c r="B246" s="131">
        <f>200</f>
        <v>200</v>
      </c>
      <c r="C246" s="131">
        <f>150</f>
        <v>150</v>
      </c>
    </row>
    <row r="247" spans="1:3" x14ac:dyDescent="0.2">
      <c r="A247" s="129" t="s">
        <v>602</v>
      </c>
      <c r="B247" s="131">
        <f>1608</f>
        <v>1608</v>
      </c>
      <c r="C247" s="131">
        <f>3043</f>
        <v>3043</v>
      </c>
    </row>
    <row r="248" spans="1:3" x14ac:dyDescent="0.2">
      <c r="A248" s="129" t="s">
        <v>599</v>
      </c>
      <c r="B248" s="131">
        <f>2100</f>
        <v>2100</v>
      </c>
      <c r="C248" s="131">
        <f>2100</f>
        <v>2100</v>
      </c>
    </row>
    <row r="249" spans="1:3" x14ac:dyDescent="0.2">
      <c r="A249" s="129" t="s">
        <v>319</v>
      </c>
      <c r="B249" s="132">
        <f>((((((((((B238)+(B239))+(B240))+(B241))+(B242))+(B243))+(B244))+(B245))+(B246))+(B247))+(B248)</f>
        <v>12786.45</v>
      </c>
      <c r="C249" s="132">
        <f>((((((((((C238)+(C239))+(C240))+(C241))+(C242))+(C243))+(C244))+(C245))+(C246))+(C247))+(C248)</f>
        <v>15494.109999999999</v>
      </c>
    </row>
    <row r="250" spans="1:3" x14ac:dyDescent="0.2">
      <c r="A250" s="129" t="s">
        <v>320</v>
      </c>
      <c r="B250" s="130"/>
      <c r="C250" s="130"/>
    </row>
    <row r="251" spans="1:3" x14ac:dyDescent="0.2">
      <c r="A251" s="129" t="s">
        <v>321</v>
      </c>
      <c r="B251" s="131">
        <f>3071.43</f>
        <v>3071.43</v>
      </c>
      <c r="C251" s="131">
        <f>4721.63</f>
        <v>4721.63</v>
      </c>
    </row>
    <row r="252" spans="1:3" x14ac:dyDescent="0.2">
      <c r="A252" s="129" t="s">
        <v>452</v>
      </c>
      <c r="B252" s="131">
        <f>14333.6</f>
        <v>14333.6</v>
      </c>
      <c r="C252" s="131">
        <f>14418.98</f>
        <v>14418.98</v>
      </c>
    </row>
    <row r="253" spans="1:3" x14ac:dyDescent="0.2">
      <c r="A253" s="129" t="s">
        <v>453</v>
      </c>
      <c r="B253" s="131">
        <f>51708.23</f>
        <v>51708.23</v>
      </c>
      <c r="C253" s="131">
        <f>35528.96</f>
        <v>35528.959999999999</v>
      </c>
    </row>
    <row r="254" spans="1:3" x14ac:dyDescent="0.2">
      <c r="A254" s="129" t="s">
        <v>477</v>
      </c>
      <c r="B254" s="131">
        <f>750</f>
        <v>750</v>
      </c>
      <c r="C254" s="131">
        <f>14000</f>
        <v>14000</v>
      </c>
    </row>
    <row r="255" spans="1:3" x14ac:dyDescent="0.2">
      <c r="A255" s="129" t="s">
        <v>322</v>
      </c>
      <c r="B255" s="131">
        <f>1840.82</f>
        <v>1840.82</v>
      </c>
      <c r="C255" s="131">
        <f>640</f>
        <v>640</v>
      </c>
    </row>
    <row r="256" spans="1:3" x14ac:dyDescent="0.2">
      <c r="A256" s="129" t="s">
        <v>454</v>
      </c>
      <c r="B256" s="131">
        <f>240</f>
        <v>240</v>
      </c>
      <c r="C256" s="131">
        <f>1478.9</f>
        <v>1478.9</v>
      </c>
    </row>
    <row r="257" spans="1:3" x14ac:dyDescent="0.2">
      <c r="A257" s="129" t="s">
        <v>376</v>
      </c>
      <c r="B257" s="130"/>
      <c r="C257" s="130"/>
    </row>
    <row r="258" spans="1:3" x14ac:dyDescent="0.2">
      <c r="A258" s="129" t="s">
        <v>377</v>
      </c>
      <c r="B258" s="131">
        <f>2283.61</f>
        <v>2283.61</v>
      </c>
      <c r="C258" s="131">
        <f>2071.68</f>
        <v>2071.6799999999998</v>
      </c>
    </row>
    <row r="259" spans="1:3" x14ac:dyDescent="0.2">
      <c r="A259" s="129" t="s">
        <v>488</v>
      </c>
      <c r="B259" s="131">
        <f>6190</f>
        <v>6190</v>
      </c>
      <c r="C259" s="131">
        <f>4832</f>
        <v>4832</v>
      </c>
    </row>
    <row r="260" spans="1:3" x14ac:dyDescent="0.2">
      <c r="A260" s="129" t="s">
        <v>2329</v>
      </c>
      <c r="B260" s="131">
        <f>162</f>
        <v>162</v>
      </c>
      <c r="C260" s="130"/>
    </row>
    <row r="261" spans="1:3" x14ac:dyDescent="0.2">
      <c r="A261" s="129" t="s">
        <v>514</v>
      </c>
      <c r="B261" s="132">
        <f>(((B257)+(B258))+(B259))+(B260)</f>
        <v>8635.61</v>
      </c>
      <c r="C261" s="132">
        <f>(((C257)+(C258))+(C259))+(C260)</f>
        <v>6903.68</v>
      </c>
    </row>
    <row r="262" spans="1:3" x14ac:dyDescent="0.2">
      <c r="A262" s="129" t="s">
        <v>1780</v>
      </c>
      <c r="B262" s="131">
        <f>3053.24</f>
        <v>3053.24</v>
      </c>
      <c r="C262" s="130"/>
    </row>
    <row r="263" spans="1:3" x14ac:dyDescent="0.2">
      <c r="A263" s="129" t="s">
        <v>468</v>
      </c>
      <c r="B263" s="130"/>
      <c r="C263" s="130"/>
    </row>
    <row r="264" spans="1:3" x14ac:dyDescent="0.2">
      <c r="A264" s="129" t="s">
        <v>497</v>
      </c>
      <c r="B264" s="131">
        <f>10825</f>
        <v>10825</v>
      </c>
      <c r="C264" s="131">
        <f>9020</f>
        <v>9020</v>
      </c>
    </row>
    <row r="265" spans="1:3" x14ac:dyDescent="0.2">
      <c r="A265" s="129" t="s">
        <v>515</v>
      </c>
      <c r="B265" s="132">
        <f>(B263)+(B264)</f>
        <v>10825</v>
      </c>
      <c r="C265" s="132">
        <f>(C263)+(C264)</f>
        <v>9020</v>
      </c>
    </row>
    <row r="266" spans="1:3" x14ac:dyDescent="0.2">
      <c r="A266" s="129" t="s">
        <v>323</v>
      </c>
      <c r="B266" s="132">
        <f>(((((((((B250)+(B251))+(B252))+(B253))+(B254))+(B255))+(B256))+(B261))+(B262))+(B265)</f>
        <v>94457.930000000022</v>
      </c>
      <c r="C266" s="132">
        <f>(((((((((C250)+(C251))+(C252))+(C253))+(C254))+(C255))+(C256))+(C261))+(C262))+(C265)</f>
        <v>86712.15</v>
      </c>
    </row>
    <row r="267" spans="1:3" x14ac:dyDescent="0.2">
      <c r="A267" s="129" t="s">
        <v>324</v>
      </c>
      <c r="B267" s="132">
        <f>((B237)+(B249))+(B266)</f>
        <v>107244.38000000002</v>
      </c>
      <c r="C267" s="132">
        <f>((C237)+(C249))+(C266)</f>
        <v>102206.26</v>
      </c>
    </row>
    <row r="268" spans="1:3" x14ac:dyDescent="0.2">
      <c r="A268" s="129" t="s">
        <v>325</v>
      </c>
      <c r="B268" s="132">
        <f>(((B190)+(B228))+(B236))+(B267)</f>
        <v>404974.84</v>
      </c>
      <c r="C268" s="132">
        <f>(((C190)+(C228))+(C236))+(C267)</f>
        <v>394460.35000000003</v>
      </c>
    </row>
    <row r="269" spans="1:3" x14ac:dyDescent="0.2">
      <c r="A269" s="129" t="s">
        <v>2705</v>
      </c>
      <c r="B269" s="130"/>
      <c r="C269" s="130"/>
    </row>
    <row r="270" spans="1:3" x14ac:dyDescent="0.2">
      <c r="A270" s="129" t="s">
        <v>2706</v>
      </c>
      <c r="B270" s="130"/>
      <c r="C270" s="131">
        <f>100</f>
        <v>100</v>
      </c>
    </row>
    <row r="271" spans="1:3" x14ac:dyDescent="0.2">
      <c r="A271" s="129" t="s">
        <v>2707</v>
      </c>
      <c r="B271" s="132">
        <f>(B269)+(B270)</f>
        <v>0</v>
      </c>
      <c r="C271" s="132">
        <f>(C269)+(C270)</f>
        <v>100</v>
      </c>
    </row>
    <row r="272" spans="1:3" x14ac:dyDescent="0.2">
      <c r="A272" s="129" t="s">
        <v>326</v>
      </c>
      <c r="B272" s="132">
        <f>((B189)+(B268))+(B271)</f>
        <v>759489.47</v>
      </c>
      <c r="C272" s="132">
        <f>((C189)+(C268))+(C271)</f>
        <v>759304.05</v>
      </c>
    </row>
    <row r="273" spans="1:3" x14ac:dyDescent="0.2">
      <c r="A273" s="129" t="s">
        <v>327</v>
      </c>
      <c r="B273" s="132">
        <f>(B61)-(B272)</f>
        <v>-91648.129999999888</v>
      </c>
      <c r="C273" s="132">
        <f>(C61)-(C272)</f>
        <v>-148298.10000000009</v>
      </c>
    </row>
    <row r="274" spans="1:3" x14ac:dyDescent="0.2">
      <c r="A274" s="129" t="s">
        <v>9</v>
      </c>
      <c r="B274" s="130"/>
      <c r="C274" s="130"/>
    </row>
    <row r="275" spans="1:3" x14ac:dyDescent="0.2">
      <c r="A275" s="129" t="s">
        <v>2708</v>
      </c>
      <c r="B275" s="130"/>
      <c r="C275" s="131">
        <f>3077.02</f>
        <v>3077.02</v>
      </c>
    </row>
    <row r="276" spans="1:3" x14ac:dyDescent="0.2">
      <c r="A276" s="129" t="s">
        <v>328</v>
      </c>
      <c r="B276" s="130"/>
      <c r="C276" s="130"/>
    </row>
    <row r="277" spans="1:3" x14ac:dyDescent="0.2">
      <c r="A277" s="129" t="s">
        <v>2215</v>
      </c>
      <c r="B277" s="131">
        <f>311</f>
        <v>311</v>
      </c>
      <c r="C277" s="131">
        <f>789.66</f>
        <v>789.66</v>
      </c>
    </row>
    <row r="278" spans="1:3" x14ac:dyDescent="0.2">
      <c r="A278" s="129" t="s">
        <v>1773</v>
      </c>
      <c r="B278" s="130"/>
      <c r="C278" s="130"/>
    </row>
    <row r="279" spans="1:3" x14ac:dyDescent="0.2">
      <c r="A279" s="129" t="s">
        <v>1774</v>
      </c>
      <c r="B279" s="131">
        <f>15400</f>
        <v>15400</v>
      </c>
      <c r="C279" s="131">
        <f>50000</f>
        <v>50000</v>
      </c>
    </row>
    <row r="280" spans="1:3" x14ac:dyDescent="0.2">
      <c r="A280" s="129" t="s">
        <v>1775</v>
      </c>
      <c r="B280" s="132">
        <f>(B278)+(B279)</f>
        <v>15400</v>
      </c>
      <c r="C280" s="132">
        <f>(C278)+(C279)</f>
        <v>50000</v>
      </c>
    </row>
    <row r="281" spans="1:3" x14ac:dyDescent="0.2">
      <c r="A281" s="129" t="s">
        <v>1266</v>
      </c>
      <c r="B281" s="130"/>
      <c r="C281" s="130"/>
    </row>
    <row r="282" spans="1:3" x14ac:dyDescent="0.2">
      <c r="A282" s="129" t="s">
        <v>2709</v>
      </c>
      <c r="B282" s="130"/>
      <c r="C282" s="131">
        <f>10000</f>
        <v>10000</v>
      </c>
    </row>
    <row r="283" spans="1:3" x14ac:dyDescent="0.2">
      <c r="A283" s="129" t="s">
        <v>1267</v>
      </c>
      <c r="B283" s="131">
        <f>203.6</f>
        <v>203.6</v>
      </c>
      <c r="C283" s="131">
        <f>224.41</f>
        <v>224.41</v>
      </c>
    </row>
    <row r="284" spans="1:3" x14ac:dyDescent="0.2">
      <c r="A284" s="129" t="s">
        <v>1268</v>
      </c>
      <c r="B284" s="132">
        <f>((B281)+(B282))+(B283)</f>
        <v>203.6</v>
      </c>
      <c r="C284" s="132">
        <f>((C281)+(C282))+(C283)</f>
        <v>10224.41</v>
      </c>
    </row>
    <row r="285" spans="1:3" x14ac:dyDescent="0.2">
      <c r="A285" s="129" t="s">
        <v>329</v>
      </c>
      <c r="B285" s="131">
        <f>7860.04</f>
        <v>7860.04</v>
      </c>
      <c r="C285" s="131">
        <f>8777.13</f>
        <v>8777.1299999999992</v>
      </c>
    </row>
    <row r="286" spans="1:3" x14ac:dyDescent="0.2">
      <c r="A286" s="129" t="s">
        <v>1445</v>
      </c>
      <c r="B286" s="131">
        <f>5000</f>
        <v>5000</v>
      </c>
      <c r="C286" s="131">
        <f>6000</f>
        <v>6000</v>
      </c>
    </row>
    <row r="287" spans="1:3" x14ac:dyDescent="0.2">
      <c r="A287" s="129" t="s">
        <v>2710</v>
      </c>
      <c r="B287" s="130"/>
      <c r="C287" s="130"/>
    </row>
    <row r="288" spans="1:3" x14ac:dyDescent="0.2">
      <c r="A288" s="129" t="s">
        <v>2711</v>
      </c>
      <c r="B288" s="130"/>
      <c r="C288" s="131">
        <f>5755</f>
        <v>5755</v>
      </c>
    </row>
    <row r="289" spans="1:3" x14ac:dyDescent="0.2">
      <c r="A289" s="129" t="s">
        <v>2712</v>
      </c>
      <c r="B289" s="130"/>
      <c r="C289" s="131">
        <f>50000</f>
        <v>50000</v>
      </c>
    </row>
    <row r="290" spans="1:3" x14ac:dyDescent="0.2">
      <c r="A290" s="129" t="s">
        <v>2713</v>
      </c>
      <c r="B290" s="132">
        <f>((B287)+(B288))+(B289)</f>
        <v>0</v>
      </c>
      <c r="C290" s="132">
        <f>((C287)+(C288))+(C289)</f>
        <v>55755</v>
      </c>
    </row>
    <row r="291" spans="1:3" x14ac:dyDescent="0.2">
      <c r="A291" s="129" t="s">
        <v>2714</v>
      </c>
      <c r="B291" s="132">
        <f>(B286)+(B290)</f>
        <v>5000</v>
      </c>
      <c r="C291" s="132">
        <f>(C286)+(C290)</f>
        <v>61755</v>
      </c>
    </row>
    <row r="292" spans="1:3" x14ac:dyDescent="0.2">
      <c r="A292" s="129" t="s">
        <v>2715</v>
      </c>
      <c r="B292" s="130"/>
      <c r="C292" s="131">
        <f>290.5</f>
        <v>290.5</v>
      </c>
    </row>
    <row r="293" spans="1:3" x14ac:dyDescent="0.2">
      <c r="A293" s="129" t="s">
        <v>2716</v>
      </c>
      <c r="B293" s="130"/>
      <c r="C293" s="131">
        <f>175</f>
        <v>175</v>
      </c>
    </row>
    <row r="294" spans="1:3" x14ac:dyDescent="0.2">
      <c r="A294" s="129" t="s">
        <v>740</v>
      </c>
      <c r="B294" s="131">
        <f>323.92</f>
        <v>323.92</v>
      </c>
      <c r="C294" s="131">
        <f>844</f>
        <v>844</v>
      </c>
    </row>
    <row r="295" spans="1:3" x14ac:dyDescent="0.2">
      <c r="A295" s="129" t="s">
        <v>2330</v>
      </c>
      <c r="B295" s="131">
        <f>150</f>
        <v>150</v>
      </c>
      <c r="C295" s="130"/>
    </row>
    <row r="296" spans="1:3" x14ac:dyDescent="0.2">
      <c r="A296" s="129" t="s">
        <v>330</v>
      </c>
      <c r="B296" s="132">
        <f>(((((((((B276)+(B277))+(B280))+(B284))+(B285))+(B291))+(B292))+(B293))+(B294))+(B295)</f>
        <v>29248.559999999998</v>
      </c>
      <c r="C296" s="132">
        <f>(((((((((C276)+(C277))+(C280))+(C284))+(C285))+(C291))+(C292))+(C293))+(C294))+(C295)</f>
        <v>132855.70000000001</v>
      </c>
    </row>
    <row r="297" spans="1:3" x14ac:dyDescent="0.2">
      <c r="A297" s="129" t="s">
        <v>2216</v>
      </c>
      <c r="B297" s="131">
        <f>480</f>
        <v>480</v>
      </c>
      <c r="C297" s="131">
        <f>15853.28</f>
        <v>15853.28</v>
      </c>
    </row>
    <row r="298" spans="1:3" x14ac:dyDescent="0.2">
      <c r="A298" s="129" t="s">
        <v>1135</v>
      </c>
      <c r="B298" s="130"/>
      <c r="C298" s="130"/>
    </row>
    <row r="299" spans="1:3" x14ac:dyDescent="0.2">
      <c r="A299" s="129" t="s">
        <v>1136</v>
      </c>
      <c r="B299" s="131">
        <f>15488.56</f>
        <v>15488.56</v>
      </c>
      <c r="C299" s="131">
        <f>20095.26</f>
        <v>20095.259999999998</v>
      </c>
    </row>
    <row r="300" spans="1:3" x14ac:dyDescent="0.2">
      <c r="A300" s="129" t="s">
        <v>1137</v>
      </c>
      <c r="B300" s="131">
        <f>5751.54</f>
        <v>5751.54</v>
      </c>
      <c r="C300" s="131">
        <f>8290.49</f>
        <v>8290.49</v>
      </c>
    </row>
    <row r="301" spans="1:3" x14ac:dyDescent="0.2">
      <c r="A301" s="129" t="s">
        <v>1138</v>
      </c>
      <c r="B301" s="131">
        <f>1020.07</f>
        <v>1020.07</v>
      </c>
      <c r="C301" s="131">
        <f>478.3</f>
        <v>478.3</v>
      </c>
    </row>
    <row r="302" spans="1:3" x14ac:dyDescent="0.2">
      <c r="A302" s="129" t="s">
        <v>1139</v>
      </c>
      <c r="B302" s="132">
        <f>(((B298)+(B299))+(B300))+(B301)</f>
        <v>22260.17</v>
      </c>
      <c r="C302" s="132">
        <f>(((C298)+(C299))+(C300))+(C301)</f>
        <v>28864.05</v>
      </c>
    </row>
    <row r="303" spans="1:3" x14ac:dyDescent="0.2">
      <c r="A303" s="129" t="s">
        <v>10</v>
      </c>
      <c r="B303" s="132">
        <f>(((B275)+(B296))+(B297))+(B302)</f>
        <v>51988.729999999996</v>
      </c>
      <c r="C303" s="132">
        <f>(((C275)+(C296))+(C297))+(C302)</f>
        <v>180650.05</v>
      </c>
    </row>
    <row r="304" spans="1:3" x14ac:dyDescent="0.2">
      <c r="A304" s="129" t="s">
        <v>962</v>
      </c>
      <c r="B304" s="130"/>
      <c r="C304" s="130"/>
    </row>
    <row r="305" spans="1:3" x14ac:dyDescent="0.2">
      <c r="A305" s="129" t="s">
        <v>2717</v>
      </c>
      <c r="B305" s="130"/>
      <c r="C305" s="131">
        <f>4746.72</f>
        <v>4746.72</v>
      </c>
    </row>
    <row r="306" spans="1:3" x14ac:dyDescent="0.2">
      <c r="A306" s="129" t="s">
        <v>963</v>
      </c>
      <c r="B306" s="130"/>
      <c r="C306" s="130"/>
    </row>
    <row r="307" spans="1:3" x14ac:dyDescent="0.2">
      <c r="A307" s="129" t="s">
        <v>2331</v>
      </c>
      <c r="B307" s="131">
        <f>3000</f>
        <v>3000</v>
      </c>
      <c r="C307" s="131">
        <f>12522.17</f>
        <v>12522.17</v>
      </c>
    </row>
    <row r="308" spans="1:3" x14ac:dyDescent="0.2">
      <c r="A308" s="129" t="s">
        <v>2718</v>
      </c>
      <c r="B308" s="130"/>
      <c r="C308" s="130"/>
    </row>
    <row r="309" spans="1:3" x14ac:dyDescent="0.2">
      <c r="A309" s="129" t="s">
        <v>2719</v>
      </c>
      <c r="B309" s="130"/>
      <c r="C309" s="131">
        <f>487.9</f>
        <v>487.9</v>
      </c>
    </row>
    <row r="310" spans="1:3" x14ac:dyDescent="0.2">
      <c r="A310" s="129" t="s">
        <v>2720</v>
      </c>
      <c r="B310" s="130"/>
      <c r="C310" s="131">
        <f>3781.61</f>
        <v>3781.61</v>
      </c>
    </row>
    <row r="311" spans="1:3" x14ac:dyDescent="0.2">
      <c r="A311" s="129" t="s">
        <v>2721</v>
      </c>
      <c r="B311" s="130"/>
      <c r="C311" s="131">
        <f>4853.19</f>
        <v>4853.1899999999996</v>
      </c>
    </row>
    <row r="312" spans="1:3" x14ac:dyDescent="0.2">
      <c r="A312" s="129" t="s">
        <v>2722</v>
      </c>
      <c r="B312" s="132">
        <f>(((B308)+(B309))+(B310))+(B311)</f>
        <v>0</v>
      </c>
      <c r="C312" s="132">
        <f>(((C308)+(C309))+(C310))+(C311)</f>
        <v>9122.7000000000007</v>
      </c>
    </row>
    <row r="313" spans="1:3" x14ac:dyDescent="0.2">
      <c r="A313" s="129" t="s">
        <v>2332</v>
      </c>
      <c r="B313" s="131">
        <f>500</f>
        <v>500</v>
      </c>
      <c r="C313" s="130"/>
    </row>
    <row r="314" spans="1:3" x14ac:dyDescent="0.2">
      <c r="A314" s="129" t="s">
        <v>964</v>
      </c>
      <c r="B314" s="131">
        <f>1515.58</f>
        <v>1515.58</v>
      </c>
      <c r="C314" s="131">
        <f>308.98</f>
        <v>308.98</v>
      </c>
    </row>
    <row r="315" spans="1:3" x14ac:dyDescent="0.2">
      <c r="A315" s="129" t="s">
        <v>2541</v>
      </c>
      <c r="B315" s="130"/>
      <c r="C315" s="130"/>
    </row>
    <row r="316" spans="1:3" x14ac:dyDescent="0.2">
      <c r="A316" s="129" t="s">
        <v>2723</v>
      </c>
      <c r="B316" s="130"/>
      <c r="C316" s="131">
        <f>3211</f>
        <v>3211</v>
      </c>
    </row>
    <row r="317" spans="1:3" x14ac:dyDescent="0.2">
      <c r="A317" s="129" t="s">
        <v>2542</v>
      </c>
      <c r="B317" s="131">
        <f>9100</f>
        <v>9100</v>
      </c>
      <c r="C317" s="131">
        <f>1188</f>
        <v>1188</v>
      </c>
    </row>
    <row r="318" spans="1:3" x14ac:dyDescent="0.2">
      <c r="A318" s="129" t="s">
        <v>2543</v>
      </c>
      <c r="B318" s="132">
        <f>((B315)+(B316))+(B317)</f>
        <v>9100</v>
      </c>
      <c r="C318" s="132">
        <f>((C315)+(C316))+(C317)</f>
        <v>4399</v>
      </c>
    </row>
    <row r="319" spans="1:3" x14ac:dyDescent="0.2">
      <c r="A319" s="129" t="s">
        <v>965</v>
      </c>
      <c r="B319" s="132">
        <f>(((((B306)+(B307))+(B312))+(B313))+(B314))+(B318)</f>
        <v>14115.58</v>
      </c>
      <c r="C319" s="132">
        <f>(((((C306)+(C307))+(C312))+(C313))+(C314))+(C318)</f>
        <v>26352.850000000002</v>
      </c>
    </row>
    <row r="320" spans="1:3" x14ac:dyDescent="0.2">
      <c r="A320" s="129" t="s">
        <v>2678</v>
      </c>
      <c r="B320" s="131">
        <f>5164</f>
        <v>5164</v>
      </c>
      <c r="C320" s="130"/>
    </row>
    <row r="321" spans="1:3" x14ac:dyDescent="0.2">
      <c r="A321" s="129" t="s">
        <v>2724</v>
      </c>
      <c r="B321" s="130"/>
      <c r="C321" s="131">
        <f>0</f>
        <v>0</v>
      </c>
    </row>
    <row r="322" spans="1:3" x14ac:dyDescent="0.2">
      <c r="A322" s="129" t="s">
        <v>2725</v>
      </c>
      <c r="B322" s="130"/>
      <c r="C322" s="131">
        <f>-1500</f>
        <v>-1500</v>
      </c>
    </row>
    <row r="323" spans="1:3" x14ac:dyDescent="0.2">
      <c r="A323" s="129" t="s">
        <v>2726</v>
      </c>
      <c r="B323" s="130"/>
      <c r="C323" s="130"/>
    </row>
    <row r="324" spans="1:3" x14ac:dyDescent="0.2">
      <c r="A324" s="129" t="s">
        <v>2727</v>
      </c>
      <c r="B324" s="130"/>
      <c r="C324" s="131">
        <f>63992.93</f>
        <v>63992.93</v>
      </c>
    </row>
    <row r="325" spans="1:3" x14ac:dyDescent="0.2">
      <c r="A325" s="129" t="s">
        <v>2728</v>
      </c>
      <c r="B325" s="130"/>
      <c r="C325" s="130"/>
    </row>
    <row r="326" spans="1:3" x14ac:dyDescent="0.2">
      <c r="A326" s="129" t="s">
        <v>2729</v>
      </c>
      <c r="B326" s="130"/>
      <c r="C326" s="131">
        <f>1568.52</f>
        <v>1568.52</v>
      </c>
    </row>
    <row r="327" spans="1:3" x14ac:dyDescent="0.2">
      <c r="A327" s="129" t="s">
        <v>2730</v>
      </c>
      <c r="B327" s="132">
        <f>(B325)+(B326)</f>
        <v>0</v>
      </c>
      <c r="C327" s="132">
        <f>(C325)+(C326)</f>
        <v>1568.52</v>
      </c>
    </row>
    <row r="328" spans="1:3" x14ac:dyDescent="0.2">
      <c r="A328" s="129" t="s">
        <v>2731</v>
      </c>
      <c r="B328" s="132">
        <f>((B323)+(B324))+(B327)</f>
        <v>0</v>
      </c>
      <c r="C328" s="132">
        <f>((C323)+(C324))+(C327)</f>
        <v>65561.45</v>
      </c>
    </row>
    <row r="329" spans="1:3" x14ac:dyDescent="0.2">
      <c r="A329" s="129" t="s">
        <v>966</v>
      </c>
      <c r="B329" s="132">
        <f>(((((B305)+(B319))+(B320))+(B321))+(B322))+(B328)</f>
        <v>19279.580000000002</v>
      </c>
      <c r="C329" s="132">
        <f>(((((C305)+(C319))+(C320))+(C321))+(C322))+(C328)</f>
        <v>95161.02</v>
      </c>
    </row>
    <row r="330" spans="1:3" x14ac:dyDescent="0.2">
      <c r="A330" s="129" t="s">
        <v>11</v>
      </c>
      <c r="B330" s="132">
        <f>(B303)-(B329)</f>
        <v>32709.149999999994</v>
      </c>
      <c r="C330" s="132">
        <f>(C303)-(C329)</f>
        <v>85489.029999999984</v>
      </c>
    </row>
    <row r="331" spans="1:3" x14ac:dyDescent="0.2">
      <c r="A331" s="129" t="s">
        <v>4</v>
      </c>
      <c r="B331" s="132">
        <f>(B273)+(B330)</f>
        <v>-58938.979999999894</v>
      </c>
      <c r="C331" s="132">
        <f>(C273)+(C330)</f>
        <v>-62809.070000000109</v>
      </c>
    </row>
    <row r="332" spans="1:3" x14ac:dyDescent="0.2">
      <c r="A332" s="129"/>
      <c r="B332" s="130"/>
      <c r="C332" s="130"/>
    </row>
    <row r="335" spans="1:3" x14ac:dyDescent="0.2">
      <c r="A335" s="334" t="s">
        <v>2732</v>
      </c>
      <c r="B335" s="335"/>
      <c r="C335" s="335"/>
    </row>
  </sheetData>
  <mergeCells count="5">
    <mergeCell ref="A1:C1"/>
    <mergeCell ref="A2:C2"/>
    <mergeCell ref="A3:C3"/>
    <mergeCell ref="B5:C5"/>
    <mergeCell ref="A335:C3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6"/>
  <sheetViews>
    <sheetView topLeftCell="A115" workbookViewId="0">
      <selection activeCell="B152" sqref="B152"/>
    </sheetView>
  </sheetViews>
  <sheetFormatPr baseColWidth="10" defaultColWidth="8.83203125" defaultRowHeight="15" x14ac:dyDescent="0.2"/>
  <cols>
    <col min="1" max="1" width="37.6640625" customWidth="1"/>
    <col min="2" max="2" width="16.6640625" customWidth="1"/>
    <col min="3" max="3" width="14.6640625" customWidth="1"/>
    <col min="6" max="6" width="9.5" bestFit="1" customWidth="1"/>
    <col min="8" max="8" width="9.5" bestFit="1" customWidth="1"/>
    <col min="10" max="10" width="28.83203125" customWidth="1"/>
    <col min="11" max="11" width="28.6640625" customWidth="1"/>
  </cols>
  <sheetData>
    <row r="1" spans="1:3" ht="18" x14ac:dyDescent="0.2">
      <c r="A1" s="340" t="s">
        <v>64</v>
      </c>
      <c r="B1" s="340"/>
      <c r="C1" s="340"/>
    </row>
    <row r="2" spans="1:3" ht="18" x14ac:dyDescent="0.2">
      <c r="A2" s="340" t="s">
        <v>820</v>
      </c>
      <c r="B2" s="340"/>
      <c r="C2" s="340"/>
    </row>
    <row r="3" spans="1:3" x14ac:dyDescent="0.2">
      <c r="A3" s="341" t="s">
        <v>2531</v>
      </c>
      <c r="B3" s="341"/>
      <c r="C3" s="341"/>
    </row>
    <row r="5" spans="1:3" x14ac:dyDescent="0.2">
      <c r="A5" s="11"/>
      <c r="B5" s="11"/>
      <c r="C5" s="10" t="s">
        <v>501</v>
      </c>
    </row>
    <row r="6" spans="1:3" x14ac:dyDescent="0.2">
      <c r="A6" s="7" t="s">
        <v>0</v>
      </c>
      <c r="B6" s="7"/>
      <c r="C6" s="8"/>
    </row>
    <row r="7" spans="1:3" x14ac:dyDescent="0.2">
      <c r="A7" s="7" t="s">
        <v>234</v>
      </c>
      <c r="B7" s="7"/>
      <c r="C7" s="8"/>
    </row>
    <row r="8" spans="1:3" x14ac:dyDescent="0.2">
      <c r="A8" s="7" t="s">
        <v>235</v>
      </c>
      <c r="B8" s="7"/>
      <c r="C8" s="8"/>
    </row>
    <row r="9" spans="1:3" x14ac:dyDescent="0.2">
      <c r="A9" s="7" t="s">
        <v>236</v>
      </c>
      <c r="B9" s="6">
        <v>149677.5</v>
      </c>
      <c r="C9" s="6">
        <v>159000</v>
      </c>
    </row>
    <row r="10" spans="1:3" x14ac:dyDescent="0.2">
      <c r="A10" s="7" t="s">
        <v>2456</v>
      </c>
      <c r="B10" s="6">
        <v>0</v>
      </c>
      <c r="C10" s="6"/>
    </row>
    <row r="11" spans="1:3" x14ac:dyDescent="0.2">
      <c r="A11" s="7" t="s">
        <v>238</v>
      </c>
      <c r="B11" s="9">
        <f>SUM(B9:B10)</f>
        <v>149677.5</v>
      </c>
      <c r="C11" s="9">
        <f>(C8)+(C9)</f>
        <v>159000</v>
      </c>
    </row>
    <row r="12" spans="1:3" x14ac:dyDescent="0.2">
      <c r="A12" s="7" t="s">
        <v>469</v>
      </c>
      <c r="B12" s="8"/>
      <c r="C12" s="8"/>
    </row>
    <row r="13" spans="1:3" x14ac:dyDescent="0.2">
      <c r="A13" s="7" t="s">
        <v>239</v>
      </c>
      <c r="B13" s="8"/>
      <c r="C13" s="8"/>
    </row>
    <row r="14" spans="1:3" x14ac:dyDescent="0.2">
      <c r="A14" s="7" t="s">
        <v>240</v>
      </c>
      <c r="B14" s="6">
        <v>169250</v>
      </c>
      <c r="C14" s="6">
        <v>174800</v>
      </c>
    </row>
    <row r="15" spans="1:3" x14ac:dyDescent="0.2">
      <c r="A15" s="129" t="s">
        <v>241</v>
      </c>
      <c r="B15" s="6">
        <v>0</v>
      </c>
      <c r="C15" s="6"/>
    </row>
    <row r="16" spans="1:3" x14ac:dyDescent="0.2">
      <c r="A16" s="7" t="s">
        <v>242</v>
      </c>
      <c r="B16" s="9">
        <f>SUM(B14:B15)</f>
        <v>169250</v>
      </c>
      <c r="C16" s="9">
        <f>(C13)+(C14)</f>
        <v>174800</v>
      </c>
    </row>
    <row r="17" spans="1:3" x14ac:dyDescent="0.2">
      <c r="A17" s="7" t="s">
        <v>470</v>
      </c>
      <c r="B17" s="9">
        <f>(B12)+(B16)</f>
        <v>169250</v>
      </c>
      <c r="C17" s="9">
        <f>(C12)+(C16)</f>
        <v>174800</v>
      </c>
    </row>
    <row r="18" spans="1:3" x14ac:dyDescent="0.2">
      <c r="A18" s="7" t="s">
        <v>243</v>
      </c>
      <c r="B18" s="8"/>
      <c r="C18" s="8"/>
    </row>
    <row r="19" spans="1:3" x14ac:dyDescent="0.2">
      <c r="A19" s="7" t="s">
        <v>244</v>
      </c>
      <c r="B19" s="8"/>
      <c r="C19" s="8"/>
    </row>
    <row r="20" spans="1:3" x14ac:dyDescent="0.2">
      <c r="A20" s="7" t="s">
        <v>245</v>
      </c>
      <c r="B20" s="6"/>
      <c r="C20" s="6">
        <v>0</v>
      </c>
    </row>
    <row r="21" spans="1:3" x14ac:dyDescent="0.2">
      <c r="A21" s="7" t="s">
        <v>246</v>
      </c>
      <c r="B21" s="9">
        <f>(B19)+(B20)</f>
        <v>0</v>
      </c>
      <c r="C21" s="9">
        <f>(C19)+(C20)</f>
        <v>0</v>
      </c>
    </row>
    <row r="22" spans="1:3" x14ac:dyDescent="0.2">
      <c r="A22" s="7" t="s">
        <v>1606</v>
      </c>
      <c r="B22" s="33">
        <v>35000</v>
      </c>
      <c r="C22" s="33"/>
    </row>
    <row r="23" spans="1:3" x14ac:dyDescent="0.2">
      <c r="A23" s="7" t="s">
        <v>247</v>
      </c>
      <c r="B23" s="8"/>
      <c r="C23" s="8"/>
    </row>
    <row r="24" spans="1:3" x14ac:dyDescent="0.2">
      <c r="A24" s="7" t="s">
        <v>533</v>
      </c>
      <c r="B24" s="8">
        <v>12.22</v>
      </c>
      <c r="C24" s="8">
        <v>100</v>
      </c>
    </row>
    <row r="25" spans="1:3" x14ac:dyDescent="0.2">
      <c r="A25" s="7" t="s">
        <v>795</v>
      </c>
      <c r="B25" s="8">
        <v>216.02</v>
      </c>
    </row>
    <row r="26" spans="1:3" x14ac:dyDescent="0.2">
      <c r="A26" s="7" t="s">
        <v>1607</v>
      </c>
      <c r="B26" s="6">
        <v>5000</v>
      </c>
      <c r="C26" s="6">
        <v>5000</v>
      </c>
    </row>
    <row r="27" spans="1:3" x14ac:dyDescent="0.2">
      <c r="A27" s="7" t="s">
        <v>248</v>
      </c>
      <c r="B27" s="9">
        <f>SUM(B24:B26)</f>
        <v>5228.24</v>
      </c>
      <c r="C27" s="9">
        <f>SUM(C24:C26)</f>
        <v>5100</v>
      </c>
    </row>
    <row r="28" spans="1:3" x14ac:dyDescent="0.2">
      <c r="A28" s="7" t="s">
        <v>249</v>
      </c>
      <c r="B28" s="9">
        <f>((B18)+(B21))+(B27)</f>
        <v>5228.24</v>
      </c>
      <c r="C28" s="9">
        <f>((C18)+(C21))+(C27)</f>
        <v>5100</v>
      </c>
    </row>
    <row r="29" spans="1:3" x14ac:dyDescent="0.2">
      <c r="A29" s="7"/>
      <c r="B29" s="6"/>
      <c r="C29" s="6"/>
    </row>
    <row r="30" spans="1:3" x14ac:dyDescent="0.2">
      <c r="A30" s="7"/>
      <c r="B30" s="6"/>
      <c r="C30" s="6"/>
    </row>
    <row r="31" spans="1:3" x14ac:dyDescent="0.2">
      <c r="A31" s="7" t="s">
        <v>250</v>
      </c>
      <c r="B31" s="9">
        <f>B11+B17+B22+B28</f>
        <v>359155.74</v>
      </c>
      <c r="C31" s="9">
        <f>(((((C7)+(C11))+(C17))+(C28))+(C29))+(C30)</f>
        <v>338900</v>
      </c>
    </row>
    <row r="32" spans="1:3" x14ac:dyDescent="0.2">
      <c r="A32" s="7" t="s">
        <v>1</v>
      </c>
      <c r="B32" s="9"/>
      <c r="C32" s="9">
        <f>C31</f>
        <v>338900</v>
      </c>
    </row>
    <row r="33" spans="1:3" x14ac:dyDescent="0.2">
      <c r="A33" s="7" t="s">
        <v>2</v>
      </c>
      <c r="B33" s="9">
        <f>B31</f>
        <v>359155.74</v>
      </c>
      <c r="C33" s="73">
        <f>(C32)-(0)</f>
        <v>338900</v>
      </c>
    </row>
    <row r="34" spans="1:3" x14ac:dyDescent="0.2">
      <c r="A34" s="7" t="s">
        <v>264</v>
      </c>
      <c r="B34" s="8"/>
      <c r="C34" s="8"/>
    </row>
    <row r="35" spans="1:3" x14ac:dyDescent="0.2">
      <c r="A35" s="7" t="s">
        <v>295</v>
      </c>
      <c r="B35" s="8"/>
      <c r="C35" s="8"/>
    </row>
    <row r="36" spans="1:3" x14ac:dyDescent="0.2">
      <c r="A36" s="7" t="s">
        <v>296</v>
      </c>
      <c r="B36" s="8"/>
      <c r="C36" s="8"/>
    </row>
    <row r="37" spans="1:3" x14ac:dyDescent="0.2">
      <c r="A37" s="7" t="s">
        <v>297</v>
      </c>
      <c r="B37" s="8"/>
      <c r="C37" s="8"/>
    </row>
    <row r="38" spans="1:3" x14ac:dyDescent="0.2">
      <c r="A38" s="7" t="s">
        <v>505</v>
      </c>
      <c r="B38" s="8"/>
      <c r="C38" s="8"/>
    </row>
    <row r="39" spans="1:3" x14ac:dyDescent="0.2">
      <c r="A39" s="7" t="s">
        <v>517</v>
      </c>
      <c r="B39" s="107">
        <v>34499.919999999998</v>
      </c>
      <c r="C39" s="6">
        <v>35000</v>
      </c>
    </row>
    <row r="40" spans="1:3" x14ac:dyDescent="0.2">
      <c r="A40" s="7" t="s">
        <v>513</v>
      </c>
      <c r="B40" s="71">
        <v>3978</v>
      </c>
      <c r="C40">
        <v>4137.12</v>
      </c>
    </row>
    <row r="41" spans="1:3" x14ac:dyDescent="0.2">
      <c r="A41" s="7" t="s">
        <v>698</v>
      </c>
      <c r="B41" s="6">
        <v>17500.080000000002</v>
      </c>
      <c r="C41" s="6">
        <v>17000</v>
      </c>
    </row>
    <row r="42" spans="1:3" x14ac:dyDescent="0.2">
      <c r="A42" s="7" t="s">
        <v>736</v>
      </c>
      <c r="B42" s="6">
        <v>0</v>
      </c>
      <c r="C42" s="6"/>
    </row>
    <row r="43" spans="1:3" x14ac:dyDescent="0.2">
      <c r="A43" s="7" t="s">
        <v>669</v>
      </c>
      <c r="B43" s="89">
        <v>32231.66</v>
      </c>
      <c r="C43" s="6">
        <v>21091.200000000001</v>
      </c>
    </row>
    <row r="44" spans="1:3" x14ac:dyDescent="0.2">
      <c r="A44" s="7" t="s">
        <v>507</v>
      </c>
      <c r="B44" s="89">
        <v>2922.94</v>
      </c>
      <c r="C44" s="6">
        <v>3080</v>
      </c>
    </row>
    <row r="45" spans="1:3" x14ac:dyDescent="0.2">
      <c r="A45" s="7" t="s">
        <v>756</v>
      </c>
      <c r="B45" s="89">
        <v>2334.2199999999998</v>
      </c>
      <c r="C45" s="6"/>
    </row>
    <row r="46" spans="1:3" x14ac:dyDescent="0.2">
      <c r="A46" s="7" t="s">
        <v>593</v>
      </c>
      <c r="B46" s="89">
        <v>1119.3900000000001</v>
      </c>
      <c r="C46" s="6">
        <v>5000</v>
      </c>
    </row>
    <row r="47" spans="1:3" ht="14.5" customHeight="1" x14ac:dyDescent="0.2">
      <c r="A47" s="7" t="s">
        <v>613</v>
      </c>
      <c r="B47" s="6"/>
      <c r="C47" s="6">
        <v>0</v>
      </c>
    </row>
    <row r="48" spans="1:3" ht="14.5" customHeight="1" x14ac:dyDescent="0.2">
      <c r="A48" s="7" t="s">
        <v>812</v>
      </c>
      <c r="B48" s="6">
        <v>992.58</v>
      </c>
      <c r="C48" s="6">
        <v>1300</v>
      </c>
    </row>
    <row r="49" spans="1:3" x14ac:dyDescent="0.2">
      <c r="A49" s="7" t="s">
        <v>523</v>
      </c>
      <c r="B49" s="6"/>
      <c r="C49" s="6"/>
    </row>
    <row r="50" spans="1:3" ht="11.5" customHeight="1" x14ac:dyDescent="0.2">
      <c r="A50" s="7"/>
      <c r="B50" s="6"/>
      <c r="C50" s="6"/>
    </row>
    <row r="51" spans="1:3" x14ac:dyDescent="0.2">
      <c r="A51" s="7" t="s">
        <v>506</v>
      </c>
      <c r="B51" s="9">
        <f>SUM(B39:B50)</f>
        <v>95578.790000000008</v>
      </c>
      <c r="C51" s="9">
        <f>SUM(C38:C50)</f>
        <v>86608.320000000007</v>
      </c>
    </row>
    <row r="52" spans="1:3" x14ac:dyDescent="0.2">
      <c r="A52" s="7" t="s">
        <v>298</v>
      </c>
      <c r="B52" s="9">
        <f>(B37)+(B51)</f>
        <v>95578.790000000008</v>
      </c>
      <c r="C52" s="9">
        <f>(C37)+(C51)</f>
        <v>86608.320000000007</v>
      </c>
    </row>
    <row r="53" spans="1:3" x14ac:dyDescent="0.2">
      <c r="A53" s="7" t="s">
        <v>299</v>
      </c>
      <c r="B53" s="8"/>
      <c r="C53" s="8"/>
    </row>
    <row r="54" spans="1:3" x14ac:dyDescent="0.2">
      <c r="A54" s="7" t="s">
        <v>300</v>
      </c>
      <c r="B54" s="89">
        <v>15083.72</v>
      </c>
      <c r="C54" s="6">
        <v>15621.72</v>
      </c>
    </row>
    <row r="55" spans="1:3" x14ac:dyDescent="0.2">
      <c r="A55" s="7" t="s">
        <v>662</v>
      </c>
      <c r="B55" s="89">
        <v>520.02</v>
      </c>
      <c r="C55" s="6">
        <v>2311.1999999999998</v>
      </c>
    </row>
    <row r="56" spans="1:3" x14ac:dyDescent="0.2">
      <c r="A56" s="7" t="s">
        <v>524</v>
      </c>
      <c r="B56" s="89">
        <v>2497.94</v>
      </c>
      <c r="C56" s="6">
        <v>1326.05</v>
      </c>
    </row>
    <row r="57" spans="1:3" x14ac:dyDescent="0.2">
      <c r="A57" s="7" t="s">
        <v>441</v>
      </c>
      <c r="B57" s="89">
        <v>1545.73</v>
      </c>
      <c r="C57" s="6">
        <v>1700</v>
      </c>
    </row>
    <row r="58" spans="1:3" x14ac:dyDescent="0.2">
      <c r="A58" s="7"/>
      <c r="B58" s="6"/>
    </row>
    <row r="59" spans="1:3" x14ac:dyDescent="0.2">
      <c r="A59" s="7" t="s">
        <v>301</v>
      </c>
      <c r="B59" s="9">
        <f>SUM(B54:B58)</f>
        <v>19647.41</v>
      </c>
      <c r="C59" s="9">
        <f>SUM(C54:C57)</f>
        <v>20958.969999999998</v>
      </c>
    </row>
    <row r="60" spans="1:3" x14ac:dyDescent="0.2">
      <c r="A60" s="7" t="s">
        <v>594</v>
      </c>
      <c r="B60" s="8"/>
      <c r="C60" s="8"/>
    </row>
    <row r="61" spans="1:3" x14ac:dyDescent="0.2">
      <c r="A61" s="7" t="s">
        <v>595</v>
      </c>
      <c r="B61" s="83">
        <v>11527.04</v>
      </c>
      <c r="C61" s="6">
        <v>22144.2</v>
      </c>
    </row>
    <row r="62" spans="1:3" x14ac:dyDescent="0.2">
      <c r="A62" s="7" t="s">
        <v>596</v>
      </c>
      <c r="B62" s="83">
        <v>8072.78</v>
      </c>
      <c r="C62" s="6">
        <v>11072.1</v>
      </c>
    </row>
    <row r="63" spans="1:3" x14ac:dyDescent="0.2">
      <c r="A63" s="7" t="s">
        <v>597</v>
      </c>
      <c r="B63" s="6">
        <v>2851.8</v>
      </c>
      <c r="C63" s="6">
        <v>2541.0500000000002</v>
      </c>
    </row>
    <row r="64" spans="1:3" x14ac:dyDescent="0.2">
      <c r="A64" s="7" t="s">
        <v>302</v>
      </c>
      <c r="B64" s="6"/>
      <c r="C64" s="6"/>
    </row>
    <row r="65" spans="1:6" x14ac:dyDescent="0.2">
      <c r="A65" s="7" t="s">
        <v>734</v>
      </c>
      <c r="B65" s="6"/>
      <c r="C65" s="6">
        <v>1200</v>
      </c>
    </row>
    <row r="66" spans="1:6" x14ac:dyDescent="0.2">
      <c r="A66" s="7" t="s">
        <v>455</v>
      </c>
      <c r="B66" s="6">
        <v>165.5</v>
      </c>
      <c r="C66" s="6">
        <v>1000</v>
      </c>
      <c r="F66" s="51"/>
    </row>
    <row r="67" spans="1:6" x14ac:dyDescent="0.2">
      <c r="A67" s="7" t="s">
        <v>576</v>
      </c>
      <c r="B67" s="9">
        <f>SUM(B61:B66)</f>
        <v>22617.119999999999</v>
      </c>
      <c r="C67" s="9">
        <f>SUM(C61:C66)</f>
        <v>37957.350000000006</v>
      </c>
    </row>
    <row r="68" spans="1:6" x14ac:dyDescent="0.2">
      <c r="B68" s="8"/>
      <c r="C68" s="8"/>
    </row>
    <row r="69" spans="1:6" x14ac:dyDescent="0.2">
      <c r="A69" s="7"/>
      <c r="B69" s="33"/>
      <c r="C69" s="33"/>
    </row>
    <row r="70" spans="1:6" x14ac:dyDescent="0.2">
      <c r="A70" s="7" t="s">
        <v>303</v>
      </c>
      <c r="B70" s="8"/>
      <c r="C70" s="8"/>
    </row>
    <row r="71" spans="1:6" x14ac:dyDescent="0.2">
      <c r="A71" s="7" t="s">
        <v>304</v>
      </c>
      <c r="B71" s="6">
        <v>800.6</v>
      </c>
      <c r="C71" s="6">
        <v>550</v>
      </c>
    </row>
    <row r="72" spans="1:6" x14ac:dyDescent="0.2">
      <c r="A72" s="7" t="s">
        <v>442</v>
      </c>
      <c r="B72" s="6">
        <v>2081.8200000000002</v>
      </c>
      <c r="C72" s="6">
        <v>2485</v>
      </c>
    </row>
    <row r="73" spans="1:6" x14ac:dyDescent="0.2">
      <c r="A73" s="7" t="s">
        <v>750</v>
      </c>
      <c r="B73" s="6"/>
      <c r="C73" s="6"/>
    </row>
    <row r="74" spans="1:6" x14ac:dyDescent="0.2">
      <c r="A74" s="7" t="s">
        <v>762</v>
      </c>
      <c r="B74" s="6">
        <v>1167.32</v>
      </c>
      <c r="C74" s="6"/>
    </row>
    <row r="75" spans="1:6" x14ac:dyDescent="0.2">
      <c r="A75" s="7" t="s">
        <v>741</v>
      </c>
      <c r="B75" s="6"/>
      <c r="C75" s="6"/>
    </row>
    <row r="76" spans="1:6" x14ac:dyDescent="0.2">
      <c r="A76" s="7" t="s">
        <v>443</v>
      </c>
      <c r="B76" s="6">
        <v>21.6</v>
      </c>
      <c r="C76" s="6"/>
    </row>
    <row r="77" spans="1:6" x14ac:dyDescent="0.2">
      <c r="A77" s="7" t="s">
        <v>305</v>
      </c>
      <c r="B77" s="9">
        <f>SUM(B71:B76)</f>
        <v>4071.3399999999997</v>
      </c>
      <c r="C77" s="9">
        <f>(((C70)+(C71))+(C72))+(C76)</f>
        <v>3035</v>
      </c>
    </row>
    <row r="78" spans="1:6" x14ac:dyDescent="0.2">
      <c r="A78" s="7" t="s">
        <v>306</v>
      </c>
      <c r="B78" s="9">
        <f>B52+B59+B67+B77</f>
        <v>141914.66</v>
      </c>
      <c r="C78" s="9">
        <f>((((C36)+(C52))+(C59))+(C67))+(C77)</f>
        <v>148559.64000000001</v>
      </c>
    </row>
    <row r="79" spans="1:6" x14ac:dyDescent="0.2">
      <c r="A79" s="7" t="s">
        <v>444</v>
      </c>
      <c r="B79" s="8"/>
      <c r="C79" s="8"/>
    </row>
    <row r="80" spans="1:6" x14ac:dyDescent="0.2">
      <c r="A80" s="7" t="s">
        <v>445</v>
      </c>
      <c r="B80" s="8"/>
      <c r="C80" s="8"/>
    </row>
    <row r="81" spans="1:5" x14ac:dyDescent="0.2">
      <c r="A81" s="7" t="s">
        <v>446</v>
      </c>
      <c r="B81" s="6">
        <v>0</v>
      </c>
      <c r="C81" s="6">
        <v>4000</v>
      </c>
      <c r="E81" s="1"/>
    </row>
    <row r="82" spans="1:5" x14ac:dyDescent="0.2">
      <c r="A82" s="7" t="s">
        <v>447</v>
      </c>
      <c r="B82" s="9">
        <f>(B80)+(B81)</f>
        <v>0</v>
      </c>
      <c r="C82" s="9">
        <f>(C80)+(C81)</f>
        <v>4000</v>
      </c>
    </row>
    <row r="83" spans="1:5" x14ac:dyDescent="0.2">
      <c r="A83" s="7" t="s">
        <v>510</v>
      </c>
      <c r="B83" s="6">
        <v>73762.510999999999</v>
      </c>
      <c r="C83" s="6"/>
    </row>
    <row r="84" spans="1:5" ht="18.5" customHeight="1" x14ac:dyDescent="0.2">
      <c r="A84" s="7" t="s">
        <v>638</v>
      </c>
      <c r="B84" s="6"/>
      <c r="C84" s="6"/>
    </row>
    <row r="85" spans="1:5" x14ac:dyDescent="0.2">
      <c r="A85" s="138" t="s">
        <v>448</v>
      </c>
      <c r="B85" s="133">
        <v>82500</v>
      </c>
      <c r="C85" s="133">
        <v>90000</v>
      </c>
    </row>
    <row r="86" spans="1:5" x14ac:dyDescent="0.2">
      <c r="A86" s="7" t="s">
        <v>663</v>
      </c>
      <c r="B86" s="6"/>
      <c r="C86" s="6"/>
    </row>
    <row r="87" spans="1:5" x14ac:dyDescent="0.2">
      <c r="A87" s="7" t="s">
        <v>449</v>
      </c>
      <c r="B87" s="8"/>
      <c r="C87" s="8"/>
    </row>
    <row r="88" spans="1:5" x14ac:dyDescent="0.2">
      <c r="A88" s="7" t="s">
        <v>733</v>
      </c>
      <c r="B88" s="8"/>
      <c r="C88" s="8"/>
    </row>
    <row r="89" spans="1:5" x14ac:dyDescent="0.2">
      <c r="A89" s="7" t="s">
        <v>473</v>
      </c>
      <c r="B89" s="6">
        <v>420</v>
      </c>
      <c r="C89" s="6">
        <v>2000</v>
      </c>
    </row>
    <row r="90" spans="1:5" x14ac:dyDescent="0.2">
      <c r="A90" s="7" t="s">
        <v>474</v>
      </c>
      <c r="B90" s="6"/>
      <c r="C90" s="6">
        <v>2000</v>
      </c>
      <c r="E90" s="1"/>
    </row>
    <row r="91" spans="1:5" x14ac:dyDescent="0.2">
      <c r="A91" s="7" t="s">
        <v>475</v>
      </c>
      <c r="B91" s="6">
        <v>133.29</v>
      </c>
      <c r="C91" s="6">
        <v>1000</v>
      </c>
    </row>
    <row r="92" spans="1:5" x14ac:dyDescent="0.2">
      <c r="A92" s="7" t="s">
        <v>450</v>
      </c>
      <c r="B92" s="9">
        <f>(((B87)+(B89))+(B90))+(B91)</f>
        <v>553.29</v>
      </c>
      <c r="C92" s="9">
        <f>SUM(C88:C91)</f>
        <v>5000</v>
      </c>
    </row>
    <row r="93" spans="1:5" x14ac:dyDescent="0.2">
      <c r="A93" s="7" t="s">
        <v>451</v>
      </c>
      <c r="B93" s="9">
        <f>(((((B79)+(B82))+(B83))+(B84))+(B85))+B86+(B92)</f>
        <v>156815.80100000001</v>
      </c>
      <c r="C93" s="9">
        <f>(((((C79)+(C82))+(C83))+(C84))+(C85))+(C92)</f>
        <v>99000</v>
      </c>
    </row>
    <row r="94" spans="1:5" x14ac:dyDescent="0.2">
      <c r="A94" s="7" t="s">
        <v>307</v>
      </c>
      <c r="B94" s="8"/>
      <c r="C94" s="8"/>
    </row>
    <row r="95" spans="1:5" x14ac:dyDescent="0.2">
      <c r="A95" s="7" t="s">
        <v>308</v>
      </c>
      <c r="B95" s="8"/>
      <c r="C95" s="8"/>
    </row>
    <row r="96" spans="1:5" x14ac:dyDescent="0.2">
      <c r="A96" s="7" t="s">
        <v>309</v>
      </c>
      <c r="B96" s="6"/>
      <c r="C96" s="6"/>
    </row>
    <row r="97" spans="1:3" x14ac:dyDescent="0.2">
      <c r="A97" s="7" t="s">
        <v>310</v>
      </c>
      <c r="B97" s="13"/>
      <c r="C97" s="6">
        <v>0</v>
      </c>
    </row>
    <row r="98" spans="1:3" x14ac:dyDescent="0.2">
      <c r="A98" s="7" t="s">
        <v>311</v>
      </c>
      <c r="B98" s="6">
        <v>854.58</v>
      </c>
      <c r="C98" s="6">
        <v>900</v>
      </c>
    </row>
    <row r="99" spans="1:3" x14ac:dyDescent="0.2">
      <c r="A99" s="7" t="s">
        <v>575</v>
      </c>
      <c r="B99" s="6">
        <v>524.14</v>
      </c>
      <c r="C99" s="6">
        <v>100</v>
      </c>
    </row>
    <row r="100" spans="1:3" x14ac:dyDescent="0.2">
      <c r="A100" s="7" t="s">
        <v>312</v>
      </c>
      <c r="B100" s="6">
        <v>601.35</v>
      </c>
      <c r="C100" s="6">
        <v>700</v>
      </c>
    </row>
    <row r="101" spans="1:3" x14ac:dyDescent="0.2">
      <c r="A101" s="7" t="s">
        <v>313</v>
      </c>
      <c r="B101" s="6"/>
      <c r="C101" s="6"/>
    </row>
    <row r="102" spans="1:3" x14ac:dyDescent="0.2">
      <c r="A102" s="7" t="s">
        <v>314</v>
      </c>
      <c r="B102" s="74"/>
      <c r="C102" s="6">
        <v>2000</v>
      </c>
    </row>
    <row r="103" spans="1:3" x14ac:dyDescent="0.2">
      <c r="A103" s="7" t="s">
        <v>315</v>
      </c>
      <c r="B103" s="89">
        <v>4930.1099999999997</v>
      </c>
      <c r="C103" s="6">
        <v>6000</v>
      </c>
    </row>
    <row r="104" spans="1:3" x14ac:dyDescent="0.2">
      <c r="A104" s="7" t="s">
        <v>476</v>
      </c>
      <c r="B104" s="89">
        <v>1262.68</v>
      </c>
      <c r="C104" s="6">
        <v>1000</v>
      </c>
    </row>
    <row r="105" spans="1:3" x14ac:dyDescent="0.2">
      <c r="A105" s="7" t="s">
        <v>316</v>
      </c>
      <c r="B105" s="6">
        <v>300</v>
      </c>
      <c r="C105" s="6">
        <v>615</v>
      </c>
    </row>
    <row r="106" spans="1:3" x14ac:dyDescent="0.2">
      <c r="A106" s="7" t="s">
        <v>317</v>
      </c>
      <c r="B106" s="74">
        <v>405.59</v>
      </c>
      <c r="C106" s="6">
        <v>2000</v>
      </c>
    </row>
    <row r="107" spans="1:3" x14ac:dyDescent="0.2">
      <c r="A107" s="7" t="s">
        <v>598</v>
      </c>
      <c r="B107" s="6">
        <v>1608</v>
      </c>
      <c r="C107" s="6">
        <v>1050</v>
      </c>
    </row>
    <row r="108" spans="1:3" x14ac:dyDescent="0.2">
      <c r="A108" s="7" t="s">
        <v>484</v>
      </c>
      <c r="B108" s="6"/>
      <c r="C108" s="6">
        <v>3000</v>
      </c>
    </row>
    <row r="109" spans="1:3" x14ac:dyDescent="0.2">
      <c r="A109" s="7" t="s">
        <v>815</v>
      </c>
      <c r="B109" s="6"/>
      <c r="C109" s="6">
        <v>3204</v>
      </c>
    </row>
    <row r="110" spans="1:3" x14ac:dyDescent="0.2">
      <c r="A110" s="7" t="s">
        <v>599</v>
      </c>
      <c r="B110" s="6">
        <v>2100</v>
      </c>
      <c r="C110" s="6">
        <v>1050</v>
      </c>
    </row>
    <row r="111" spans="1:3" x14ac:dyDescent="0.2">
      <c r="A111" s="7" t="s">
        <v>664</v>
      </c>
      <c r="B111" s="6">
        <v>200</v>
      </c>
      <c r="C111" s="6"/>
    </row>
    <row r="112" spans="1:3" x14ac:dyDescent="0.2">
      <c r="A112" s="7" t="s">
        <v>318</v>
      </c>
      <c r="B112" s="6"/>
      <c r="C112" s="6"/>
    </row>
    <row r="113" spans="1:8" x14ac:dyDescent="0.2">
      <c r="A113" s="7" t="s">
        <v>319</v>
      </c>
      <c r="B113" s="9">
        <f>SUM(B96:B112)</f>
        <v>12786.45</v>
      </c>
      <c r="C113" s="9">
        <f>SUM(C96:C112)</f>
        <v>21619</v>
      </c>
      <c r="H113" s="51"/>
    </row>
    <row r="114" spans="1:8" x14ac:dyDescent="0.2">
      <c r="A114" s="7" t="s">
        <v>320</v>
      </c>
      <c r="B114" s="8"/>
      <c r="C114" s="8"/>
    </row>
    <row r="115" spans="1:8" x14ac:dyDescent="0.2">
      <c r="A115" s="7" t="s">
        <v>321</v>
      </c>
      <c r="B115" s="6">
        <v>3071.43</v>
      </c>
      <c r="C115" s="6">
        <v>5000</v>
      </c>
    </row>
    <row r="116" spans="1:8" x14ac:dyDescent="0.2">
      <c r="A116" s="7" t="s">
        <v>452</v>
      </c>
      <c r="B116" s="6">
        <v>14333.6</v>
      </c>
      <c r="C116" s="6">
        <v>14858</v>
      </c>
    </row>
    <row r="117" spans="1:8" x14ac:dyDescent="0.2">
      <c r="A117" s="7" t="s">
        <v>453</v>
      </c>
      <c r="B117" s="6">
        <v>51708.23</v>
      </c>
      <c r="C117" s="6">
        <v>31394.080000000002</v>
      </c>
    </row>
    <row r="118" spans="1:8" x14ac:dyDescent="0.2">
      <c r="A118" s="7" t="s">
        <v>477</v>
      </c>
      <c r="B118" s="6">
        <v>750</v>
      </c>
      <c r="C118" s="6">
        <v>10000</v>
      </c>
    </row>
    <row r="119" spans="1:8" x14ac:dyDescent="0.2">
      <c r="A119" s="7" t="s">
        <v>322</v>
      </c>
      <c r="B119" s="6">
        <v>1840.82</v>
      </c>
      <c r="C119" s="6">
        <v>5000</v>
      </c>
    </row>
    <row r="120" spans="1:8" x14ac:dyDescent="0.2">
      <c r="A120" s="7" t="s">
        <v>454</v>
      </c>
      <c r="B120" s="6">
        <v>240</v>
      </c>
      <c r="C120" s="6">
        <v>500</v>
      </c>
    </row>
    <row r="121" spans="1:8" x14ac:dyDescent="0.2">
      <c r="A121" s="7" t="s">
        <v>582</v>
      </c>
      <c r="B121" s="6"/>
      <c r="C121" s="6"/>
    </row>
    <row r="122" spans="1:8" x14ac:dyDescent="0.2">
      <c r="A122" s="7" t="s">
        <v>1779</v>
      </c>
      <c r="B122" s="6">
        <v>3053.24</v>
      </c>
      <c r="C122" s="6"/>
    </row>
    <row r="123" spans="1:8" x14ac:dyDescent="0.2">
      <c r="A123" s="7"/>
      <c r="B123" s="6"/>
      <c r="C123" s="6"/>
    </row>
    <row r="124" spans="1:8" x14ac:dyDescent="0.2">
      <c r="A124" s="7" t="s">
        <v>376</v>
      </c>
      <c r="B124" s="8"/>
      <c r="C124" s="8"/>
    </row>
    <row r="125" spans="1:8" x14ac:dyDescent="0.2">
      <c r="A125" s="7" t="s">
        <v>377</v>
      </c>
      <c r="B125" s="6">
        <v>2283.61</v>
      </c>
      <c r="C125" s="6">
        <v>3000</v>
      </c>
    </row>
    <row r="126" spans="1:8" x14ac:dyDescent="0.2">
      <c r="A126" s="7" t="s">
        <v>534</v>
      </c>
      <c r="B126" s="6">
        <v>162</v>
      </c>
      <c r="C126" s="6"/>
    </row>
    <row r="127" spans="1:8" x14ac:dyDescent="0.2">
      <c r="A127" s="7"/>
      <c r="B127" s="6"/>
      <c r="C127" s="6"/>
    </row>
    <row r="128" spans="1:8" x14ac:dyDescent="0.2">
      <c r="A128" s="7" t="s">
        <v>488</v>
      </c>
      <c r="B128" s="6">
        <v>6190</v>
      </c>
      <c r="C128" s="6">
        <v>5000</v>
      </c>
    </row>
    <row r="129" spans="1:3" x14ac:dyDescent="0.2">
      <c r="A129" s="7" t="s">
        <v>514</v>
      </c>
      <c r="B129" s="9">
        <f>SUM(B125:B128)</f>
        <v>8635.61</v>
      </c>
      <c r="C129" s="9">
        <f>((C124)+(C125))+(C128)</f>
        <v>8000</v>
      </c>
    </row>
    <row r="130" spans="1:3" x14ac:dyDescent="0.2">
      <c r="A130" s="7"/>
      <c r="B130" s="6"/>
      <c r="C130" s="6"/>
    </row>
    <row r="131" spans="1:3" x14ac:dyDescent="0.2">
      <c r="A131" s="7" t="s">
        <v>468</v>
      </c>
      <c r="B131" s="8"/>
      <c r="C131" s="8"/>
    </row>
    <row r="132" spans="1:3" x14ac:dyDescent="0.2">
      <c r="A132" s="7" t="s">
        <v>497</v>
      </c>
      <c r="B132" s="6">
        <v>10825</v>
      </c>
      <c r="C132" s="6">
        <v>7500</v>
      </c>
    </row>
    <row r="133" spans="1:3" x14ac:dyDescent="0.2">
      <c r="A133" s="7" t="s">
        <v>515</v>
      </c>
      <c r="B133" s="9">
        <f>(B131)+(B132)</f>
        <v>10825</v>
      </c>
      <c r="C133" s="9">
        <f>(C131)+(C132)</f>
        <v>7500</v>
      </c>
    </row>
    <row r="134" spans="1:3" x14ac:dyDescent="0.2">
      <c r="A134" s="7" t="s">
        <v>323</v>
      </c>
      <c r="B134" s="73">
        <f>B115+B116+B117+B118+B119+B120+B122+B129+B132</f>
        <v>94457.930000000022</v>
      </c>
      <c r="C134" s="73">
        <f>C115+C116+C117+C118+C119+C120+C121+C123+C129+C132</f>
        <v>82252.08</v>
      </c>
    </row>
    <row r="135" spans="1:3" x14ac:dyDescent="0.2">
      <c r="A135" s="7" t="s">
        <v>324</v>
      </c>
      <c r="B135" s="9">
        <f>((B94)+(B113))+(B134)</f>
        <v>107244.38000000002</v>
      </c>
      <c r="C135" s="9">
        <f>((C94)+(C113))+(C134)</f>
        <v>103871.08</v>
      </c>
    </row>
    <row r="136" spans="1:3" x14ac:dyDescent="0.2">
      <c r="A136" s="7" t="s">
        <v>325</v>
      </c>
      <c r="B136" s="9">
        <f>(((B35)+(B78))+(B93))+(B135)</f>
        <v>405974.84100000001</v>
      </c>
      <c r="C136" s="9">
        <f>(((C35)+(C78))+(C93))+(C135)</f>
        <v>351430.72000000003</v>
      </c>
    </row>
    <row r="137" spans="1:3" x14ac:dyDescent="0.2">
      <c r="A137" s="7" t="s">
        <v>326</v>
      </c>
      <c r="B137" s="73">
        <f>B136</f>
        <v>405974.84100000001</v>
      </c>
      <c r="C137" s="9">
        <f>C136</f>
        <v>351430.72000000003</v>
      </c>
    </row>
    <row r="138" spans="1:3" x14ac:dyDescent="0.2">
      <c r="A138" s="7" t="s">
        <v>327</v>
      </c>
      <c r="B138" s="9">
        <f>B33-B137</f>
        <v>-46819.101000000024</v>
      </c>
      <c r="C138" s="9">
        <f>(C33)-(C137)</f>
        <v>-12530.72000000003</v>
      </c>
    </row>
    <row r="139" spans="1:3" x14ac:dyDescent="0.2">
      <c r="A139" s="7" t="s">
        <v>4</v>
      </c>
      <c r="B139" s="87">
        <f>(B138)+(0)</f>
        <v>-46819.101000000024</v>
      </c>
      <c r="C139" s="9">
        <f>(C138)+(0)</f>
        <v>-12530.72000000003</v>
      </c>
    </row>
    <row r="140" spans="1:3" x14ac:dyDescent="0.2">
      <c r="A140" s="7"/>
      <c r="B140" s="7"/>
      <c r="C140" s="8"/>
    </row>
    <row r="143" spans="1:3" x14ac:dyDescent="0.2">
      <c r="A143" t="s">
        <v>651</v>
      </c>
      <c r="B143" s="1">
        <f>'Camp YTD Budget  4'!B205</f>
        <v>-30340.469999999972</v>
      </c>
    </row>
    <row r="144" spans="1:3" x14ac:dyDescent="0.2">
      <c r="B144" s="1"/>
    </row>
    <row r="145" spans="1:11" x14ac:dyDescent="0.2">
      <c r="A145" t="s">
        <v>652</v>
      </c>
      <c r="B145" s="1">
        <v>6771.61</v>
      </c>
    </row>
    <row r="146" spans="1:11" x14ac:dyDescent="0.2">
      <c r="A146" t="s">
        <v>2537</v>
      </c>
      <c r="B146" s="1"/>
    </row>
    <row r="147" spans="1:11" x14ac:dyDescent="0.2">
      <c r="A147" t="s">
        <v>2538</v>
      </c>
      <c r="B147" s="1">
        <v>180</v>
      </c>
    </row>
    <row r="148" spans="1:11" x14ac:dyDescent="0.2">
      <c r="B148" s="1"/>
    </row>
    <row r="149" spans="1:11" x14ac:dyDescent="0.2">
      <c r="A149" t="s">
        <v>637</v>
      </c>
      <c r="B149" s="1">
        <f>'Camp YTD Budget  4'!B211</f>
        <v>300</v>
      </c>
    </row>
    <row r="150" spans="1:11" x14ac:dyDescent="0.2">
      <c r="A150" t="s">
        <v>649</v>
      </c>
      <c r="B150" s="1"/>
    </row>
    <row r="151" spans="1:11" x14ac:dyDescent="0.2">
      <c r="A151" t="s">
        <v>650</v>
      </c>
      <c r="B151" s="1">
        <v>9968.98</v>
      </c>
    </row>
    <row r="152" spans="1:11" x14ac:dyDescent="0.2">
      <c r="B152" s="1"/>
    </row>
    <row r="153" spans="1:11" ht="16" thickBot="1" x14ac:dyDescent="0.25">
      <c r="A153" s="12" t="s">
        <v>522</v>
      </c>
      <c r="B153" s="86">
        <f>SUM(B139:B152)</f>
        <v>-59938.981</v>
      </c>
    </row>
    <row r="154" spans="1:11" ht="16" thickTop="1" x14ac:dyDescent="0.2">
      <c r="B154" s="1"/>
    </row>
    <row r="155" spans="1:11" x14ac:dyDescent="0.2">
      <c r="B155" s="1"/>
      <c r="K155" t="s">
        <v>2337</v>
      </c>
    </row>
    <row r="156" spans="1:11" x14ac:dyDescent="0.2">
      <c r="B156" s="1"/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1"/>
  <sheetViews>
    <sheetView zoomScaleNormal="100" workbookViewId="0">
      <pane ySplit="5" topLeftCell="A6" activePane="bottomLeft" state="frozen"/>
      <selection pane="bottomLeft" sqref="A1:C1"/>
    </sheetView>
  </sheetViews>
  <sheetFormatPr baseColWidth="10" defaultColWidth="8.83203125" defaultRowHeight="15" x14ac:dyDescent="0.2"/>
  <cols>
    <col min="1" max="1" width="52.33203125" customWidth="1"/>
    <col min="2" max="2" width="13.6640625" customWidth="1"/>
    <col min="3" max="3" width="18.6640625" customWidth="1"/>
    <col min="4" max="4" width="9.6640625" bestFit="1" customWidth="1"/>
    <col min="5" max="5" width="19" customWidth="1"/>
    <col min="6" max="6" width="16.5" style="84" customWidth="1"/>
    <col min="7" max="7" width="28" customWidth="1"/>
    <col min="10" max="10" width="5" customWidth="1"/>
    <col min="11" max="11" width="13.5" customWidth="1"/>
  </cols>
  <sheetData>
    <row r="1" spans="1:3" ht="18" x14ac:dyDescent="0.2">
      <c r="A1" s="340" t="s">
        <v>64</v>
      </c>
      <c r="B1" s="340"/>
      <c r="C1" s="335"/>
    </row>
    <row r="2" spans="1:3" ht="18" x14ac:dyDescent="0.2">
      <c r="A2" s="340" t="s">
        <v>813</v>
      </c>
      <c r="B2" s="340"/>
      <c r="C2" s="335"/>
    </row>
    <row r="3" spans="1:3" x14ac:dyDescent="0.2">
      <c r="A3" s="341" t="s">
        <v>2674</v>
      </c>
      <c r="B3" s="341"/>
      <c r="C3" s="341"/>
    </row>
    <row r="4" spans="1:3" ht="3.5" customHeight="1" x14ac:dyDescent="0.2"/>
    <row r="5" spans="1:3" x14ac:dyDescent="0.2">
      <c r="A5" s="11"/>
      <c r="B5" s="10" t="s">
        <v>501</v>
      </c>
      <c r="C5" s="10" t="s">
        <v>501</v>
      </c>
    </row>
    <row r="6" spans="1:3" x14ac:dyDescent="0.2">
      <c r="A6" s="11"/>
      <c r="B6" s="75"/>
      <c r="C6" s="75"/>
    </row>
    <row r="7" spans="1:3" x14ac:dyDescent="0.2">
      <c r="A7" s="7" t="s">
        <v>0</v>
      </c>
      <c r="B7" s="8"/>
      <c r="C7" s="8"/>
    </row>
    <row r="8" spans="1:3" x14ac:dyDescent="0.2">
      <c r="A8" s="7" t="s">
        <v>251</v>
      </c>
      <c r="B8" s="8"/>
      <c r="C8" s="8"/>
    </row>
    <row r="9" spans="1:3" x14ac:dyDescent="0.2">
      <c r="A9" s="7" t="s">
        <v>252</v>
      </c>
      <c r="B9" s="8"/>
      <c r="C9" s="8"/>
    </row>
    <row r="10" spans="1:3" x14ac:dyDescent="0.2">
      <c r="A10" s="7" t="s">
        <v>253</v>
      </c>
      <c r="B10" s="6">
        <v>87011.47</v>
      </c>
      <c r="C10" s="6">
        <v>122000</v>
      </c>
    </row>
    <row r="11" spans="1:3" x14ac:dyDescent="0.2">
      <c r="A11" s="7" t="s">
        <v>254</v>
      </c>
      <c r="B11" s="6">
        <v>52534.3</v>
      </c>
      <c r="C11" s="6">
        <v>45000</v>
      </c>
    </row>
    <row r="12" spans="1:3" x14ac:dyDescent="0.2">
      <c r="A12" s="7" t="s">
        <v>587</v>
      </c>
      <c r="B12" s="6">
        <v>393.5</v>
      </c>
      <c r="C12" s="6">
        <v>5000</v>
      </c>
    </row>
    <row r="13" spans="1:3" x14ac:dyDescent="0.2">
      <c r="A13" s="7" t="s">
        <v>588</v>
      </c>
      <c r="B13" s="6"/>
      <c r="C13" s="6">
        <v>4500</v>
      </c>
    </row>
    <row r="14" spans="1:3" x14ac:dyDescent="0.2">
      <c r="B14" s="6"/>
      <c r="C14" s="6"/>
    </row>
    <row r="15" spans="1:3" x14ac:dyDescent="0.2">
      <c r="A15" s="7" t="s">
        <v>255</v>
      </c>
      <c r="B15" s="9">
        <f>SUM(B10:B14)</f>
        <v>139939.27000000002</v>
      </c>
      <c r="C15" s="9">
        <f>SUM(C10:C14)</f>
        <v>176500</v>
      </c>
    </row>
    <row r="16" spans="1:3" x14ac:dyDescent="0.2">
      <c r="A16" s="7" t="s">
        <v>256</v>
      </c>
      <c r="B16" s="8"/>
      <c r="C16" s="8"/>
    </row>
    <row r="17" spans="1:3" x14ac:dyDescent="0.2">
      <c r="A17" s="7" t="s">
        <v>257</v>
      </c>
      <c r="B17" s="8"/>
      <c r="C17" s="8"/>
    </row>
    <row r="18" spans="1:3" x14ac:dyDescent="0.2">
      <c r="A18" s="7" t="s">
        <v>461</v>
      </c>
      <c r="B18" s="83">
        <v>31387.5</v>
      </c>
      <c r="C18" s="6">
        <v>25000</v>
      </c>
    </row>
    <row r="19" spans="1:3" x14ac:dyDescent="0.2">
      <c r="A19" s="7" t="s">
        <v>258</v>
      </c>
      <c r="B19" s="83">
        <v>6050</v>
      </c>
      <c r="C19" s="6">
        <v>5500</v>
      </c>
    </row>
    <row r="20" spans="1:3" x14ac:dyDescent="0.2">
      <c r="A20" s="7" t="s">
        <v>259</v>
      </c>
      <c r="B20" s="83">
        <v>17500</v>
      </c>
      <c r="C20" s="6">
        <v>25000</v>
      </c>
    </row>
    <row r="21" spans="1:3" x14ac:dyDescent="0.2">
      <c r="A21" s="7" t="s">
        <v>483</v>
      </c>
      <c r="B21" s="83">
        <v>3943</v>
      </c>
      <c r="C21" s="6">
        <v>5500</v>
      </c>
    </row>
    <row r="22" spans="1:3" x14ac:dyDescent="0.2">
      <c r="A22" s="7" t="s">
        <v>381</v>
      </c>
      <c r="B22" s="6"/>
      <c r="C22" s="6">
        <v>3000</v>
      </c>
    </row>
    <row r="23" spans="1:3" x14ac:dyDescent="0.2">
      <c r="A23" s="7" t="s">
        <v>382</v>
      </c>
      <c r="B23" s="6">
        <v>90000</v>
      </c>
      <c r="C23" s="6">
        <v>90000</v>
      </c>
    </row>
    <row r="24" spans="1:3" x14ac:dyDescent="0.2">
      <c r="A24" s="7" t="s">
        <v>589</v>
      </c>
      <c r="B24" s="6" t="s">
        <v>1446</v>
      </c>
      <c r="C24" s="6">
        <v>1000</v>
      </c>
    </row>
    <row r="25" spans="1:3" x14ac:dyDescent="0.2">
      <c r="A25" s="7" t="s">
        <v>260</v>
      </c>
      <c r="B25" s="9">
        <f>SUM(B18:B24)</f>
        <v>148880.5</v>
      </c>
      <c r="C25" s="9">
        <f>SUM(C18:C24)</f>
        <v>155000</v>
      </c>
    </row>
    <row r="26" spans="1:3" x14ac:dyDescent="0.2">
      <c r="A26" s="7" t="s">
        <v>261</v>
      </c>
      <c r="B26" s="6">
        <v>10989.2</v>
      </c>
      <c r="C26" s="6">
        <v>1000</v>
      </c>
    </row>
    <row r="27" spans="1:3" ht="16.25" hidden="1" customHeight="1" x14ac:dyDescent="0.2">
      <c r="A27" s="7" t="s">
        <v>638</v>
      </c>
      <c r="B27" s="6"/>
      <c r="C27" s="6"/>
    </row>
    <row r="28" spans="1:3" hidden="1" x14ac:dyDescent="0.2">
      <c r="A28" s="7"/>
      <c r="B28" s="322"/>
      <c r="C28" s="6"/>
    </row>
    <row r="29" spans="1:3" x14ac:dyDescent="0.2">
      <c r="A29" s="7" t="s">
        <v>383</v>
      </c>
      <c r="B29" s="6"/>
      <c r="C29" s="6">
        <v>17500</v>
      </c>
    </row>
    <row r="30" spans="1:3" x14ac:dyDescent="0.2">
      <c r="A30" s="7" t="s">
        <v>779</v>
      </c>
      <c r="B30" s="6"/>
      <c r="C30" s="6"/>
    </row>
    <row r="31" spans="1:3" ht="18.75" hidden="1" customHeight="1" x14ac:dyDescent="0.2">
      <c r="A31" s="7" t="s">
        <v>700</v>
      </c>
      <c r="B31" s="6">
        <v>0</v>
      </c>
      <c r="C31" s="6"/>
    </row>
    <row r="32" spans="1:3" x14ac:dyDescent="0.2">
      <c r="A32" s="7" t="s">
        <v>814</v>
      </c>
      <c r="B32" s="6"/>
      <c r="C32" s="6">
        <v>700</v>
      </c>
    </row>
    <row r="33" spans="1:3" x14ac:dyDescent="0.2">
      <c r="A33" s="7" t="s">
        <v>384</v>
      </c>
      <c r="B33" s="6">
        <v>1324.26</v>
      </c>
      <c r="C33" s="6">
        <v>2500</v>
      </c>
    </row>
    <row r="34" spans="1:3" x14ac:dyDescent="0.2">
      <c r="A34" s="7" t="s">
        <v>2322</v>
      </c>
      <c r="B34" s="6">
        <v>3424.65</v>
      </c>
      <c r="C34" s="6"/>
    </row>
    <row r="35" spans="1:3" x14ac:dyDescent="0.2">
      <c r="A35" s="7" t="s">
        <v>2477</v>
      </c>
      <c r="B35" s="6">
        <v>4127.72</v>
      </c>
      <c r="C35" s="6"/>
    </row>
    <row r="36" spans="1:3" ht="18.75" customHeight="1" x14ac:dyDescent="0.2">
      <c r="A36" s="7" t="s">
        <v>1134</v>
      </c>
      <c r="B36" s="6"/>
      <c r="C36" s="6"/>
    </row>
    <row r="37" spans="1:3" x14ac:dyDescent="0.2">
      <c r="A37" s="7" t="s">
        <v>262</v>
      </c>
      <c r="B37" s="9">
        <f>B25+B26+B28+B29+B30+B31+B33+B34+B35</f>
        <v>168746.33000000002</v>
      </c>
      <c r="C37" s="9">
        <f>C25+C26+C28+C29+C32+C33</f>
        <v>176700</v>
      </c>
    </row>
    <row r="38" spans="1:3" x14ac:dyDescent="0.2">
      <c r="A38" s="7" t="s">
        <v>263</v>
      </c>
      <c r="B38" s="9">
        <f>((B8)+(B15))+B32+(B37)</f>
        <v>308685.60000000003</v>
      </c>
      <c r="C38" s="9">
        <f>((C8)+(C15))+(C37)</f>
        <v>353200</v>
      </c>
    </row>
    <row r="39" spans="1:3" x14ac:dyDescent="0.2">
      <c r="A39" s="7"/>
      <c r="B39" s="9"/>
      <c r="C39" s="9"/>
    </row>
    <row r="40" spans="1:3" x14ac:dyDescent="0.2">
      <c r="A40" s="7" t="s">
        <v>1</v>
      </c>
      <c r="B40" s="9">
        <f>SUM(B38:B39)</f>
        <v>308685.60000000003</v>
      </c>
      <c r="C40" s="9">
        <f>C38</f>
        <v>353200</v>
      </c>
    </row>
    <row r="41" spans="1:3" x14ac:dyDescent="0.2">
      <c r="A41" s="7" t="s">
        <v>2</v>
      </c>
      <c r="B41" s="9">
        <f>(B40)-(0)</f>
        <v>308685.60000000003</v>
      </c>
      <c r="C41" s="9">
        <f>(C40)-(0)</f>
        <v>353200</v>
      </c>
    </row>
    <row r="42" spans="1:3" x14ac:dyDescent="0.2">
      <c r="A42" s="7" t="s">
        <v>264</v>
      </c>
      <c r="B42" s="8"/>
      <c r="C42" s="8"/>
    </row>
    <row r="43" spans="1:3" x14ac:dyDescent="0.2">
      <c r="A43" s="7" t="s">
        <v>265</v>
      </c>
      <c r="B43" s="8"/>
      <c r="C43" s="8"/>
    </row>
    <row r="44" spans="1:3" x14ac:dyDescent="0.2">
      <c r="A44" s="7" t="s">
        <v>385</v>
      </c>
      <c r="B44" s="83"/>
      <c r="C44" s="8"/>
    </row>
    <row r="45" spans="1:3" x14ac:dyDescent="0.2">
      <c r="A45" s="7" t="s">
        <v>386</v>
      </c>
      <c r="B45" s="83"/>
      <c r="C45" s="1">
        <v>3900</v>
      </c>
    </row>
    <row r="46" spans="1:3" x14ac:dyDescent="0.2">
      <c r="A46" s="7" t="s">
        <v>654</v>
      </c>
      <c r="B46" s="83"/>
      <c r="C46" s="6"/>
    </row>
    <row r="47" spans="1:3" x14ac:dyDescent="0.2">
      <c r="A47" s="7" t="s">
        <v>590</v>
      </c>
      <c r="B47" s="6"/>
      <c r="C47" s="6">
        <v>1700</v>
      </c>
    </row>
    <row r="48" spans="1:3" x14ac:dyDescent="0.2">
      <c r="A48" s="7" t="s">
        <v>387</v>
      </c>
      <c r="B48" s="133">
        <v>2600</v>
      </c>
      <c r="C48" s="6">
        <v>9000</v>
      </c>
    </row>
    <row r="49" spans="1:3" x14ac:dyDescent="0.2">
      <c r="A49" s="7" t="s">
        <v>2217</v>
      </c>
      <c r="B49" s="133">
        <v>1200</v>
      </c>
      <c r="C49" s="6"/>
    </row>
    <row r="50" spans="1:3" x14ac:dyDescent="0.2">
      <c r="A50" s="7" t="s">
        <v>1776</v>
      </c>
      <c r="B50" s="6">
        <v>8850</v>
      </c>
      <c r="C50" s="6"/>
    </row>
    <row r="51" spans="1:3" x14ac:dyDescent="0.2">
      <c r="A51" s="7" t="s">
        <v>388</v>
      </c>
      <c r="B51" s="6"/>
      <c r="C51" s="6">
        <v>4000</v>
      </c>
    </row>
    <row r="52" spans="1:3" x14ac:dyDescent="0.2">
      <c r="A52" s="70" t="s">
        <v>714</v>
      </c>
      <c r="B52" s="6"/>
      <c r="C52" s="6"/>
    </row>
    <row r="53" spans="1:3" x14ac:dyDescent="0.2">
      <c r="A53" s="7" t="s">
        <v>790</v>
      </c>
      <c r="B53" s="133">
        <v>2265</v>
      </c>
      <c r="C53" s="6">
        <v>7740</v>
      </c>
    </row>
    <row r="54" spans="1:3" x14ac:dyDescent="0.2">
      <c r="A54" s="7" t="s">
        <v>1777</v>
      </c>
      <c r="B54" s="6">
        <v>5000</v>
      </c>
      <c r="C54" s="6"/>
    </row>
    <row r="55" spans="1:3" x14ac:dyDescent="0.2">
      <c r="A55" s="7" t="s">
        <v>1603</v>
      </c>
      <c r="B55" s="6">
        <v>2400</v>
      </c>
      <c r="C55" s="6"/>
    </row>
    <row r="56" spans="1:3" x14ac:dyDescent="0.2">
      <c r="A56" s="7" t="s">
        <v>1602</v>
      </c>
      <c r="B56" s="6">
        <v>1511.25</v>
      </c>
      <c r="C56" s="6"/>
    </row>
    <row r="57" spans="1:3" x14ac:dyDescent="0.2">
      <c r="A57" s="7" t="s">
        <v>653</v>
      </c>
      <c r="B57" s="6"/>
      <c r="C57" s="6"/>
    </row>
    <row r="58" spans="1:3" x14ac:dyDescent="0.2">
      <c r="A58" s="57" t="s">
        <v>666</v>
      </c>
      <c r="B58" s="6"/>
      <c r="C58" s="6"/>
    </row>
    <row r="59" spans="1:3" x14ac:dyDescent="0.2">
      <c r="A59" s="7" t="s">
        <v>478</v>
      </c>
      <c r="B59" s="71"/>
      <c r="C59" s="6"/>
    </row>
    <row r="60" spans="1:3" x14ac:dyDescent="0.2">
      <c r="A60" s="7" t="s">
        <v>667</v>
      </c>
      <c r="B60" s="6"/>
      <c r="C60" s="6"/>
    </row>
    <row r="61" spans="1:3" x14ac:dyDescent="0.2">
      <c r="A61" s="7" t="s">
        <v>668</v>
      </c>
      <c r="B61" s="6"/>
      <c r="C61" s="6"/>
    </row>
    <row r="62" spans="1:3" x14ac:dyDescent="0.2">
      <c r="A62" s="7" t="s">
        <v>792</v>
      </c>
      <c r="B62" s="6">
        <v>0</v>
      </c>
      <c r="C62" s="6">
        <v>4000</v>
      </c>
    </row>
    <row r="63" spans="1:3" x14ac:dyDescent="0.2">
      <c r="A63" s="70" t="s">
        <v>715</v>
      </c>
      <c r="B63" s="6"/>
      <c r="C63" s="6">
        <v>0</v>
      </c>
    </row>
    <row r="64" spans="1:3" x14ac:dyDescent="0.2">
      <c r="A64" s="70" t="s">
        <v>716</v>
      </c>
      <c r="B64" s="6"/>
      <c r="C64" s="6"/>
    </row>
    <row r="65" spans="1:3" x14ac:dyDescent="0.2">
      <c r="A65" s="7" t="s">
        <v>791</v>
      </c>
      <c r="B65" s="6"/>
      <c r="C65" s="6"/>
    </row>
    <row r="66" spans="1:3" x14ac:dyDescent="0.2">
      <c r="A66" s="7" t="s">
        <v>780</v>
      </c>
      <c r="B66" s="6"/>
      <c r="C66" s="6"/>
    </row>
    <row r="67" spans="1:3" x14ac:dyDescent="0.2">
      <c r="A67" s="7" t="s">
        <v>1604</v>
      </c>
      <c r="B67" s="133">
        <v>931.66</v>
      </c>
      <c r="C67" s="6"/>
    </row>
    <row r="68" spans="1:3" x14ac:dyDescent="0.2">
      <c r="A68" s="7" t="s">
        <v>726</v>
      </c>
      <c r="B68" s="323"/>
      <c r="C68" s="6"/>
    </row>
    <row r="69" spans="1:3" x14ac:dyDescent="0.2">
      <c r="A69" s="7" t="s">
        <v>389</v>
      </c>
      <c r="B69" s="110">
        <v>28295.66</v>
      </c>
      <c r="C69" s="6">
        <v>32460</v>
      </c>
    </row>
    <row r="70" spans="1:3" x14ac:dyDescent="0.2">
      <c r="A70" s="7" t="s">
        <v>390</v>
      </c>
      <c r="B70" s="9">
        <f>SUM(B43:B69)</f>
        <v>53053.57</v>
      </c>
      <c r="C70" s="9">
        <f>SUM(C44:C69)</f>
        <v>62800</v>
      </c>
    </row>
    <row r="71" spans="1:3" x14ac:dyDescent="0.2">
      <c r="A71" s="7" t="s">
        <v>266</v>
      </c>
      <c r="B71" s="8"/>
      <c r="C71" s="8"/>
    </row>
    <row r="72" spans="1:3" ht="3.75" customHeight="1" x14ac:dyDescent="0.2">
      <c r="A72" s="7"/>
      <c r="B72" s="6"/>
      <c r="C72" s="6"/>
    </row>
    <row r="73" spans="1:3" x14ac:dyDescent="0.2">
      <c r="A73" s="7" t="s">
        <v>267</v>
      </c>
      <c r="B73" s="8"/>
      <c r="C73" s="8"/>
    </row>
    <row r="74" spans="1:3" x14ac:dyDescent="0.2">
      <c r="A74" s="7" t="s">
        <v>268</v>
      </c>
      <c r="B74" s="74">
        <v>72673.13</v>
      </c>
      <c r="C74" s="6">
        <v>70000</v>
      </c>
    </row>
    <row r="75" spans="1:3" x14ac:dyDescent="0.2">
      <c r="A75" s="7" t="s">
        <v>819</v>
      </c>
      <c r="B75" s="74">
        <v>4170.12</v>
      </c>
      <c r="C75" s="6"/>
    </row>
    <row r="76" spans="1:3" x14ac:dyDescent="0.2">
      <c r="A76" s="7" t="s">
        <v>1605</v>
      </c>
      <c r="B76" s="74">
        <v>537.48</v>
      </c>
      <c r="C76" s="6"/>
    </row>
    <row r="77" spans="1:3" x14ac:dyDescent="0.2">
      <c r="A77" s="7" t="s">
        <v>269</v>
      </c>
      <c r="B77" s="74">
        <v>13235.85</v>
      </c>
      <c r="C77" s="6">
        <v>13500</v>
      </c>
    </row>
    <row r="78" spans="1:3" x14ac:dyDescent="0.2">
      <c r="A78" s="7" t="s">
        <v>270</v>
      </c>
      <c r="B78" s="9">
        <f>SUM(B74:B77)</f>
        <v>90616.58</v>
      </c>
      <c r="C78" s="9">
        <f>((C73)+(C74))+(C77)</f>
        <v>83500</v>
      </c>
    </row>
    <row r="79" spans="1:3" x14ac:dyDescent="0.2">
      <c r="A79" s="7" t="s">
        <v>391</v>
      </c>
      <c r="B79" s="8"/>
      <c r="C79" s="8"/>
    </row>
    <row r="80" spans="1:3" x14ac:dyDescent="0.2">
      <c r="A80" s="7" t="s">
        <v>392</v>
      </c>
      <c r="B80" s="74">
        <v>303.05</v>
      </c>
      <c r="C80" s="6">
        <v>39600</v>
      </c>
    </row>
    <row r="81" spans="1:11" x14ac:dyDescent="0.2">
      <c r="A81" s="7" t="s">
        <v>393</v>
      </c>
      <c r="B81" s="9">
        <f>(B79)+(B80)</f>
        <v>303.05</v>
      </c>
      <c r="C81" s="9">
        <f>(C79)+(C80)</f>
        <v>39600</v>
      </c>
    </row>
    <row r="82" spans="1:11" x14ac:dyDescent="0.2">
      <c r="A82" s="7" t="s">
        <v>394</v>
      </c>
      <c r="B82" s="8"/>
      <c r="C82" s="8"/>
    </row>
    <row r="83" spans="1:11" x14ac:dyDescent="0.2">
      <c r="A83" s="7" t="s">
        <v>395</v>
      </c>
      <c r="B83" s="6"/>
      <c r="C83" s="6">
        <v>6400</v>
      </c>
    </row>
    <row r="84" spans="1:11" x14ac:dyDescent="0.2">
      <c r="A84" s="7" t="s">
        <v>727</v>
      </c>
      <c r="B84" s="8"/>
      <c r="C84" s="8"/>
    </row>
    <row r="85" spans="1:11" x14ac:dyDescent="0.2">
      <c r="A85" s="7" t="s">
        <v>591</v>
      </c>
      <c r="B85" s="6">
        <v>14147.25</v>
      </c>
      <c r="C85" s="6">
        <v>10400</v>
      </c>
    </row>
    <row r="86" spans="1:11" x14ac:dyDescent="0.2">
      <c r="A86" s="129" t="s">
        <v>2324</v>
      </c>
      <c r="B86" s="131"/>
      <c r="C86" s="130"/>
      <c r="D86" s="130"/>
      <c r="E86" s="130"/>
      <c r="F86" s="130"/>
      <c r="G86" s="131">
        <f t="shared" ref="G86:G89" si="0">((((B86)+(C86))+(D86))+(E86))+(F86)</f>
        <v>0</v>
      </c>
    </row>
    <row r="87" spans="1:11" x14ac:dyDescent="0.2">
      <c r="A87" s="129" t="s">
        <v>2532</v>
      </c>
      <c r="B87" s="131">
        <v>41765</v>
      </c>
      <c r="C87" s="130"/>
      <c r="D87" s="130"/>
      <c r="E87" s="130"/>
      <c r="F87" s="130"/>
      <c r="G87" s="131"/>
    </row>
    <row r="88" spans="1:11" x14ac:dyDescent="0.2">
      <c r="A88" s="129" t="s">
        <v>2533</v>
      </c>
      <c r="B88" s="131">
        <v>3356.65</v>
      </c>
      <c r="C88" s="130"/>
      <c r="D88" s="130"/>
      <c r="E88" s="130"/>
      <c r="F88" s="130"/>
      <c r="G88" s="131">
        <f t="shared" si="0"/>
        <v>3356.65</v>
      </c>
      <c r="K88" s="134"/>
    </row>
    <row r="89" spans="1:11" x14ac:dyDescent="0.2">
      <c r="A89" s="129" t="s">
        <v>2326</v>
      </c>
      <c r="B89" s="132">
        <f>SUM(B85:B88)</f>
        <v>59268.9</v>
      </c>
      <c r="C89" s="132">
        <f>(C86)+(C88)</f>
        <v>0</v>
      </c>
      <c r="D89" s="132">
        <f>(D86)+(D88)</f>
        <v>0</v>
      </c>
      <c r="E89" s="132">
        <f>(E86)+(E88)</f>
        <v>0</v>
      </c>
      <c r="F89" s="132">
        <f>(F86)+(F88)</f>
        <v>0</v>
      </c>
      <c r="G89" s="132">
        <f t="shared" si="0"/>
        <v>59268.9</v>
      </c>
    </row>
    <row r="90" spans="1:11" ht="10.5" customHeight="1" x14ac:dyDescent="0.2">
      <c r="A90" s="7"/>
      <c r="B90" s="6"/>
      <c r="C90" s="6"/>
    </row>
    <row r="91" spans="1:11" ht="12" customHeight="1" x14ac:dyDescent="0.2">
      <c r="A91" s="7"/>
      <c r="B91" s="9"/>
      <c r="C91" s="9"/>
    </row>
    <row r="92" spans="1:11" x14ac:dyDescent="0.2">
      <c r="A92" s="7" t="s">
        <v>271</v>
      </c>
      <c r="B92" s="9">
        <f>B78+B81+B89</f>
        <v>150188.53</v>
      </c>
      <c r="C92" s="78">
        <f>C78+C81+C83+C84+C85</f>
        <v>139900</v>
      </c>
    </row>
    <row r="93" spans="1:11" x14ac:dyDescent="0.2">
      <c r="A93" s="7" t="s">
        <v>272</v>
      </c>
      <c r="B93" s="8"/>
      <c r="C93" s="8"/>
    </row>
    <row r="94" spans="1:11" x14ac:dyDescent="0.2">
      <c r="A94" s="7" t="s">
        <v>396</v>
      </c>
      <c r="B94" s="83">
        <v>6245.43</v>
      </c>
      <c r="C94" s="6">
        <v>4700</v>
      </c>
    </row>
    <row r="95" spans="1:11" x14ac:dyDescent="0.2">
      <c r="A95" s="7" t="s">
        <v>273</v>
      </c>
      <c r="B95" s="83">
        <v>18931.599999999999</v>
      </c>
      <c r="C95" s="6">
        <v>15136</v>
      </c>
    </row>
    <row r="96" spans="1:11" x14ac:dyDescent="0.2">
      <c r="A96" s="7" t="s">
        <v>274</v>
      </c>
      <c r="B96" s="6">
        <v>4795</v>
      </c>
      <c r="C96" s="6">
        <v>3500</v>
      </c>
    </row>
    <row r="97" spans="1:5" x14ac:dyDescent="0.2">
      <c r="A97" s="7" t="s">
        <v>818</v>
      </c>
      <c r="B97" s="6">
        <v>619.23</v>
      </c>
      <c r="C97" s="6"/>
    </row>
    <row r="98" spans="1:5" x14ac:dyDescent="0.2">
      <c r="A98" s="7" t="s">
        <v>720</v>
      </c>
      <c r="B98" s="6"/>
      <c r="C98" s="6">
        <v>0</v>
      </c>
    </row>
    <row r="99" spans="1:5" x14ac:dyDescent="0.2">
      <c r="A99" s="7" t="s">
        <v>728</v>
      </c>
      <c r="B99" s="83"/>
      <c r="C99" s="6">
        <v>2400</v>
      </c>
    </row>
    <row r="100" spans="1:5" x14ac:dyDescent="0.2">
      <c r="A100" s="7" t="s">
        <v>729</v>
      </c>
      <c r="B100" s="83"/>
      <c r="C100" s="6">
        <v>0</v>
      </c>
    </row>
    <row r="101" spans="1:5" x14ac:dyDescent="0.2">
      <c r="A101" s="7" t="s">
        <v>730</v>
      </c>
      <c r="B101" s="6">
        <v>326.33999999999997</v>
      </c>
      <c r="C101" s="6">
        <v>1280</v>
      </c>
    </row>
    <row r="102" spans="1:5" x14ac:dyDescent="0.2">
      <c r="A102" s="7" t="s">
        <v>731</v>
      </c>
      <c r="B102" s="6">
        <v>3270.64</v>
      </c>
      <c r="C102" s="6">
        <v>21300</v>
      </c>
    </row>
    <row r="103" spans="1:5" x14ac:dyDescent="0.2">
      <c r="A103" s="7" t="s">
        <v>732</v>
      </c>
      <c r="B103" s="6"/>
      <c r="C103" s="6"/>
    </row>
    <row r="104" spans="1:5" x14ac:dyDescent="0.2">
      <c r="A104" s="7" t="s">
        <v>754</v>
      </c>
      <c r="B104" s="324">
        <v>14053.84</v>
      </c>
      <c r="C104" s="6">
        <v>0</v>
      </c>
    </row>
    <row r="105" spans="1:5" x14ac:dyDescent="0.2">
      <c r="A105" s="7" t="s">
        <v>471</v>
      </c>
      <c r="B105" s="6">
        <v>2252.35</v>
      </c>
      <c r="C105" s="6">
        <v>2000</v>
      </c>
    </row>
    <row r="106" spans="1:5" ht="16" thickBot="1" x14ac:dyDescent="0.25">
      <c r="A106" s="7"/>
      <c r="B106" s="76"/>
      <c r="C106" s="76">
        <v>850</v>
      </c>
    </row>
    <row r="107" spans="1:5" x14ac:dyDescent="0.2">
      <c r="A107" s="7" t="s">
        <v>753</v>
      </c>
      <c r="B107" s="6">
        <f>SUM(B94:B105)</f>
        <v>50494.43</v>
      </c>
      <c r="C107" s="6">
        <f>SUM(C94:C106)</f>
        <v>51166</v>
      </c>
      <c r="E107" s="51"/>
    </row>
    <row r="108" spans="1:5" x14ac:dyDescent="0.2">
      <c r="A108" s="138" t="s">
        <v>2323</v>
      </c>
      <c r="B108" s="6">
        <f>B70+B92+B107</f>
        <v>253736.53</v>
      </c>
      <c r="C108" s="6"/>
      <c r="E108" s="51"/>
    </row>
    <row r="109" spans="1:5" x14ac:dyDescent="0.2">
      <c r="A109" s="7"/>
      <c r="B109" s="6"/>
      <c r="C109" s="6"/>
      <c r="E109" s="51"/>
    </row>
    <row r="110" spans="1:5" x14ac:dyDescent="0.2">
      <c r="A110" s="7" t="s">
        <v>275</v>
      </c>
      <c r="B110" s="8"/>
      <c r="C110" s="8"/>
    </row>
    <row r="111" spans="1:5" x14ac:dyDescent="0.2">
      <c r="A111" s="7" t="s">
        <v>276</v>
      </c>
      <c r="B111" s="6">
        <v>772.9</v>
      </c>
      <c r="C111" s="6">
        <v>1750</v>
      </c>
    </row>
    <row r="112" spans="1:5" x14ac:dyDescent="0.2">
      <c r="A112" s="7" t="s">
        <v>660</v>
      </c>
      <c r="B112" s="325">
        <v>1092.9000000000001</v>
      </c>
      <c r="C112" s="6"/>
    </row>
    <row r="113" spans="1:3" x14ac:dyDescent="0.2">
      <c r="A113" s="7" t="s">
        <v>277</v>
      </c>
      <c r="B113" s="107">
        <v>6682.36</v>
      </c>
      <c r="C113" s="6">
        <v>4700</v>
      </c>
    </row>
    <row r="114" spans="1:3" x14ac:dyDescent="0.2">
      <c r="A114" s="7" t="s">
        <v>721</v>
      </c>
      <c r="B114" s="83">
        <v>64.8</v>
      </c>
      <c r="C114" s="6"/>
    </row>
    <row r="115" spans="1:3" x14ac:dyDescent="0.2">
      <c r="A115" s="7" t="s">
        <v>397</v>
      </c>
      <c r="B115" s="83">
        <v>69.849999999999994</v>
      </c>
      <c r="C115" s="6">
        <v>500</v>
      </c>
    </row>
    <row r="116" spans="1:3" x14ac:dyDescent="0.2">
      <c r="A116" s="7" t="s">
        <v>398</v>
      </c>
      <c r="B116" s="83">
        <v>2841.44</v>
      </c>
      <c r="C116" s="6">
        <v>1500</v>
      </c>
    </row>
    <row r="117" spans="1:3" x14ac:dyDescent="0.2">
      <c r="A117" s="7" t="s">
        <v>518</v>
      </c>
      <c r="B117" s="8"/>
      <c r="C117" s="8"/>
    </row>
    <row r="118" spans="1:3" x14ac:dyDescent="0.2">
      <c r="A118" s="7" t="s">
        <v>361</v>
      </c>
      <c r="B118" s="83">
        <v>521.20000000000005</v>
      </c>
      <c r="C118" s="6">
        <v>1000</v>
      </c>
    </row>
    <row r="119" spans="1:3" x14ac:dyDescent="0.2">
      <c r="A119" s="7" t="s">
        <v>516</v>
      </c>
      <c r="B119" s="83">
        <v>813.65</v>
      </c>
      <c r="C119" s="6">
        <v>1500</v>
      </c>
    </row>
    <row r="120" spans="1:3" x14ac:dyDescent="0.2">
      <c r="A120" s="7" t="s">
        <v>805</v>
      </c>
      <c r="B120" s="83">
        <v>126.48</v>
      </c>
      <c r="C120" s="6"/>
    </row>
    <row r="121" spans="1:3" x14ac:dyDescent="0.2">
      <c r="A121" s="7" t="s">
        <v>592</v>
      </c>
      <c r="B121" s="83">
        <v>1175.42</v>
      </c>
      <c r="C121" s="6">
        <v>1500</v>
      </c>
    </row>
    <row r="122" spans="1:3" x14ac:dyDescent="0.2">
      <c r="A122" s="7" t="s">
        <v>519</v>
      </c>
      <c r="B122" s="9">
        <f>SUM(B118:B121)</f>
        <v>2636.75</v>
      </c>
      <c r="C122" s="9">
        <f>(((C117)+(C118))+(C119))+(C121)</f>
        <v>4000</v>
      </c>
    </row>
    <row r="123" spans="1:3" x14ac:dyDescent="0.2">
      <c r="A123" s="7" t="s">
        <v>331</v>
      </c>
      <c r="B123" s="6"/>
      <c r="C123" s="6">
        <v>50</v>
      </c>
    </row>
    <row r="124" spans="1:3" x14ac:dyDescent="0.2">
      <c r="A124" s="7" t="s">
        <v>278</v>
      </c>
      <c r="B124" s="8"/>
      <c r="C124" s="8"/>
    </row>
    <row r="125" spans="1:3" x14ac:dyDescent="0.2">
      <c r="A125" s="7" t="s">
        <v>399</v>
      </c>
      <c r="B125" s="83">
        <v>293.25</v>
      </c>
      <c r="C125" s="6">
        <v>500</v>
      </c>
    </row>
    <row r="126" spans="1:3" x14ac:dyDescent="0.2">
      <c r="A126" s="7" t="s">
        <v>279</v>
      </c>
      <c r="B126" s="83">
        <v>105.09</v>
      </c>
      <c r="C126" s="6">
        <v>400</v>
      </c>
    </row>
    <row r="127" spans="1:3" x14ac:dyDescent="0.2">
      <c r="A127" s="7" t="s">
        <v>280</v>
      </c>
      <c r="B127" s="9">
        <f>((B124)+(B125))+(B126)</f>
        <v>398.34000000000003</v>
      </c>
      <c r="C127" s="9">
        <f>((C124)+(C125))+(C126)</f>
        <v>900</v>
      </c>
    </row>
    <row r="128" spans="1:3" x14ac:dyDescent="0.2">
      <c r="A128" s="7" t="s">
        <v>281</v>
      </c>
      <c r="B128" s="83">
        <v>1697</v>
      </c>
      <c r="C128" s="6">
        <v>1250</v>
      </c>
    </row>
    <row r="129" spans="1:5" x14ac:dyDescent="0.2">
      <c r="A129" s="7" t="s">
        <v>479</v>
      </c>
      <c r="B129" s="83">
        <v>807.8</v>
      </c>
      <c r="C129" s="6">
        <v>2000</v>
      </c>
    </row>
    <row r="130" spans="1:5" x14ac:dyDescent="0.2">
      <c r="A130" s="7" t="s">
        <v>400</v>
      </c>
      <c r="B130" s="83">
        <v>1835.59</v>
      </c>
      <c r="C130" s="6">
        <v>1750</v>
      </c>
    </row>
    <row r="131" spans="1:5" x14ac:dyDescent="0.2">
      <c r="A131" s="7" t="s">
        <v>782</v>
      </c>
      <c r="B131" s="6"/>
      <c r="C131" s="6"/>
    </row>
    <row r="132" spans="1:5" x14ac:dyDescent="0.2">
      <c r="A132" s="7" t="s">
        <v>401</v>
      </c>
      <c r="B132" s="83">
        <v>1344.2</v>
      </c>
      <c r="C132" s="6">
        <v>750</v>
      </c>
    </row>
    <row r="133" spans="1:5" x14ac:dyDescent="0.2">
      <c r="A133" s="7" t="s">
        <v>282</v>
      </c>
      <c r="B133" s="83">
        <v>30</v>
      </c>
      <c r="C133" s="6">
        <v>250</v>
      </c>
    </row>
    <row r="134" spans="1:5" x14ac:dyDescent="0.2">
      <c r="A134" s="7" t="s">
        <v>402</v>
      </c>
      <c r="B134" s="83">
        <v>875</v>
      </c>
      <c r="C134" s="6">
        <f>1000</f>
        <v>1000</v>
      </c>
      <c r="D134" s="51"/>
    </row>
    <row r="135" spans="1:5" x14ac:dyDescent="0.2">
      <c r="A135" s="7" t="s">
        <v>283</v>
      </c>
      <c r="B135" s="83">
        <v>1937.83</v>
      </c>
      <c r="C135" s="6">
        <v>3000</v>
      </c>
    </row>
    <row r="136" spans="1:5" x14ac:dyDescent="0.2">
      <c r="A136" s="7" t="s">
        <v>960</v>
      </c>
      <c r="B136" s="6"/>
    </row>
    <row r="137" spans="1:5" x14ac:dyDescent="0.2">
      <c r="A137" s="7" t="s">
        <v>403</v>
      </c>
      <c r="B137" s="83">
        <v>38.880000000000003</v>
      </c>
      <c r="C137" s="6">
        <v>750</v>
      </c>
      <c r="E137" s="51"/>
    </row>
    <row r="138" spans="1:5" x14ac:dyDescent="0.2">
      <c r="A138" s="7" t="s">
        <v>404</v>
      </c>
      <c r="B138" s="8"/>
      <c r="C138" s="8"/>
    </row>
    <row r="139" spans="1:5" x14ac:dyDescent="0.2">
      <c r="A139" s="7" t="s">
        <v>405</v>
      </c>
      <c r="B139" s="83">
        <v>539.98</v>
      </c>
      <c r="C139" s="6">
        <v>3000</v>
      </c>
    </row>
    <row r="140" spans="1:5" x14ac:dyDescent="0.2">
      <c r="A140" s="7" t="s">
        <v>406</v>
      </c>
      <c r="B140" s="83">
        <v>904.77</v>
      </c>
      <c r="C140" s="6">
        <v>250</v>
      </c>
    </row>
    <row r="141" spans="1:5" x14ac:dyDescent="0.2">
      <c r="A141" s="7" t="s">
        <v>407</v>
      </c>
      <c r="B141" s="9">
        <f>((B138)+(B139))+(B140)</f>
        <v>1444.75</v>
      </c>
      <c r="C141" s="9">
        <f>((C138)+(C139))+(C140)</f>
        <v>3250</v>
      </c>
    </row>
    <row r="142" spans="1:5" x14ac:dyDescent="0.2">
      <c r="A142" s="7" t="s">
        <v>408</v>
      </c>
      <c r="B142" s="8"/>
      <c r="C142" s="8"/>
    </row>
    <row r="143" spans="1:5" x14ac:dyDescent="0.2">
      <c r="A143" s="7" t="s">
        <v>409</v>
      </c>
      <c r="B143" s="6">
        <v>465.32</v>
      </c>
      <c r="C143" s="6">
        <v>500</v>
      </c>
    </row>
    <row r="144" spans="1:5" x14ac:dyDescent="0.2">
      <c r="A144" s="7" t="s">
        <v>410</v>
      </c>
      <c r="B144" s="6"/>
      <c r="C144" s="6">
        <v>0</v>
      </c>
    </row>
    <row r="145" spans="1:5" x14ac:dyDescent="0.2">
      <c r="A145" s="7" t="s">
        <v>411</v>
      </c>
      <c r="B145" s="9">
        <f>((B142)+(B143))+(B144)</f>
        <v>465.32</v>
      </c>
      <c r="C145" s="9">
        <f>((C142)+(C143))+(C144)</f>
        <v>500</v>
      </c>
    </row>
    <row r="146" spans="1:5" x14ac:dyDescent="0.2">
      <c r="A146" s="7" t="s">
        <v>412</v>
      </c>
      <c r="B146" s="8"/>
      <c r="C146" s="8"/>
    </row>
    <row r="147" spans="1:5" x14ac:dyDescent="0.2">
      <c r="A147" s="7" t="s">
        <v>413</v>
      </c>
      <c r="B147" s="6">
        <v>444.05</v>
      </c>
      <c r="C147" s="6">
        <v>750</v>
      </c>
    </row>
    <row r="148" spans="1:5" x14ac:dyDescent="0.2">
      <c r="A148" s="7" t="s">
        <v>414</v>
      </c>
      <c r="B148" s="9">
        <f>B147</f>
        <v>444.05</v>
      </c>
      <c r="C148" s="9">
        <f>(C146)+(C147)</f>
        <v>750</v>
      </c>
    </row>
    <row r="149" spans="1:5" x14ac:dyDescent="0.2">
      <c r="A149" s="7" t="s">
        <v>415</v>
      </c>
      <c r="B149" s="8"/>
      <c r="C149" s="8"/>
    </row>
    <row r="150" spans="1:5" x14ac:dyDescent="0.2">
      <c r="A150" s="7" t="s">
        <v>416</v>
      </c>
      <c r="B150" s="83">
        <v>13307.65</v>
      </c>
      <c r="C150" s="6">
        <v>17000</v>
      </c>
    </row>
    <row r="151" spans="1:5" x14ac:dyDescent="0.2">
      <c r="A151" s="7" t="s">
        <v>417</v>
      </c>
      <c r="B151" s="83">
        <v>1411.43</v>
      </c>
      <c r="C151" s="6">
        <v>2000</v>
      </c>
    </row>
    <row r="152" spans="1:5" x14ac:dyDescent="0.2">
      <c r="A152" s="7" t="s">
        <v>418</v>
      </c>
      <c r="B152" s="83">
        <v>1385.26</v>
      </c>
      <c r="C152" s="6">
        <v>750</v>
      </c>
    </row>
    <row r="153" spans="1:5" x14ac:dyDescent="0.2">
      <c r="A153" s="7" t="s">
        <v>480</v>
      </c>
      <c r="B153" s="83">
        <v>7250</v>
      </c>
      <c r="C153" s="6">
        <v>250</v>
      </c>
    </row>
    <row r="154" spans="1:5" x14ac:dyDescent="0.2">
      <c r="A154" s="7" t="s">
        <v>419</v>
      </c>
      <c r="B154" s="9">
        <f>((((B149)+(B150))+(B151))+(B152))+(B153)</f>
        <v>23354.34</v>
      </c>
      <c r="C154" s="9">
        <f>((((C149)+(C150))+(C151))+(C152))+(C153)</f>
        <v>20000</v>
      </c>
    </row>
    <row r="155" spans="1:5" x14ac:dyDescent="0.2">
      <c r="A155" s="7" t="s">
        <v>467</v>
      </c>
      <c r="B155" s="6"/>
      <c r="C155" s="6">
        <v>1500</v>
      </c>
    </row>
    <row r="156" spans="1:5" hidden="1" x14ac:dyDescent="0.2">
      <c r="A156" s="7" t="s">
        <v>960</v>
      </c>
      <c r="B156" s="6"/>
      <c r="C156" s="6"/>
    </row>
    <row r="157" spans="1:5" x14ac:dyDescent="0.2">
      <c r="A157" s="7" t="s">
        <v>284</v>
      </c>
      <c r="B157" s="6"/>
      <c r="C157" s="6">
        <v>2000</v>
      </c>
    </row>
    <row r="158" spans="1:5" x14ac:dyDescent="0.2">
      <c r="A158" s="77" t="s">
        <v>285</v>
      </c>
      <c r="B158" s="9">
        <f>(((((((((((((((((((((B110)+(B111))+B112+(B113))+(B115))+(B116))+(B122))+(B123))+(B127))+(B128))+(B129))+(B130))+B131+(B132))+(B133))+(B134))+(B135))+B114+(B137))+(B141))+(B145))+(B148))+(B154))+(B155))+B156+(B157)</f>
        <v>48834.1</v>
      </c>
      <c r="C158" s="78">
        <f>(((((((((((((((((((((C110)+(C111))+(C113))+(C115))+(C116))+(C122))+(C123))+(C127))+(C128))+(C129))+(C130))+(C132))+(C133))+(C134))+(C135))+C114+(C137))+(C141))+(C145))+(C148))+(C154))+(C155))+(C157)</f>
        <v>52150</v>
      </c>
      <c r="D158" s="79"/>
      <c r="E158" s="79"/>
    </row>
    <row r="159" spans="1:5" x14ac:dyDescent="0.2">
      <c r="A159" s="7" t="s">
        <v>286</v>
      </c>
      <c r="B159" s="8"/>
      <c r="C159" s="8"/>
    </row>
    <row r="160" spans="1:5" x14ac:dyDescent="0.2">
      <c r="A160" s="7" t="s">
        <v>287</v>
      </c>
      <c r="B160" s="8"/>
      <c r="C160" s="8"/>
    </row>
    <row r="161" spans="1:3" x14ac:dyDescent="0.2">
      <c r="A161" s="7" t="s">
        <v>420</v>
      </c>
      <c r="B161" s="83">
        <v>838.43</v>
      </c>
      <c r="C161" s="6">
        <v>1000</v>
      </c>
    </row>
    <row r="162" spans="1:3" x14ac:dyDescent="0.2">
      <c r="A162" s="7" t="s">
        <v>781</v>
      </c>
      <c r="C162" s="6"/>
    </row>
    <row r="163" spans="1:3" x14ac:dyDescent="0.2">
      <c r="A163" s="7" t="s">
        <v>288</v>
      </c>
      <c r="B163" s="83">
        <v>12058.07</v>
      </c>
      <c r="C163" s="6">
        <v>16500</v>
      </c>
    </row>
    <row r="164" spans="1:3" x14ac:dyDescent="0.2">
      <c r="A164" s="7" t="s">
        <v>289</v>
      </c>
      <c r="B164" s="9">
        <f>SUM(B161:B163)</f>
        <v>12896.5</v>
      </c>
      <c r="C164" s="9">
        <f>((C160)+(C161))+(C163)</f>
        <v>17500</v>
      </c>
    </row>
    <row r="165" spans="1:3" x14ac:dyDescent="0.2">
      <c r="A165" s="7" t="s">
        <v>290</v>
      </c>
      <c r="B165" s="8"/>
      <c r="C165" s="8"/>
    </row>
    <row r="166" spans="1:3" x14ac:dyDescent="0.2">
      <c r="A166" s="7" t="s">
        <v>291</v>
      </c>
      <c r="B166" s="83">
        <v>2506.1999999999998</v>
      </c>
      <c r="C166" s="6">
        <v>2750</v>
      </c>
    </row>
    <row r="167" spans="1:3" x14ac:dyDescent="0.2">
      <c r="A167" s="7" t="s">
        <v>421</v>
      </c>
      <c r="B167" s="83">
        <v>5377.34</v>
      </c>
      <c r="C167" s="6">
        <v>1750</v>
      </c>
    </row>
    <row r="168" spans="1:3" x14ac:dyDescent="0.2">
      <c r="A168" s="7" t="s">
        <v>422</v>
      </c>
      <c r="B168" s="83">
        <v>2673.76</v>
      </c>
      <c r="C168" s="6">
        <v>3000</v>
      </c>
    </row>
    <row r="169" spans="1:3" x14ac:dyDescent="0.2">
      <c r="A169" s="7" t="s">
        <v>292</v>
      </c>
      <c r="B169" s="9">
        <f>(((B165)+(B166))+(B167))+(B168)</f>
        <v>10557.3</v>
      </c>
      <c r="C169" s="9">
        <f>(((C165)+(C166))+(C167))+(C168)</f>
        <v>7500</v>
      </c>
    </row>
    <row r="170" spans="1:3" x14ac:dyDescent="0.2">
      <c r="A170" s="7" t="s">
        <v>423</v>
      </c>
      <c r="B170" s="8"/>
      <c r="C170" s="8"/>
    </row>
    <row r="171" spans="1:3" x14ac:dyDescent="0.2">
      <c r="A171" s="7" t="s">
        <v>424</v>
      </c>
      <c r="B171" s="83">
        <v>1353.01</v>
      </c>
      <c r="C171" s="6">
        <v>500</v>
      </c>
    </row>
    <row r="172" spans="1:3" x14ac:dyDescent="0.2">
      <c r="A172" s="7" t="s">
        <v>425</v>
      </c>
      <c r="B172" s="83">
        <v>711.52</v>
      </c>
      <c r="C172" s="6">
        <v>1200</v>
      </c>
    </row>
    <row r="173" spans="1:3" x14ac:dyDescent="0.2">
      <c r="A173" s="7" t="s">
        <v>426</v>
      </c>
      <c r="B173" s="83"/>
      <c r="C173" s="6">
        <v>250</v>
      </c>
    </row>
    <row r="174" spans="1:3" x14ac:dyDescent="0.2">
      <c r="A174" s="7" t="s">
        <v>427</v>
      </c>
      <c r="B174" s="74"/>
      <c r="C174" s="6">
        <v>250</v>
      </c>
    </row>
    <row r="175" spans="1:3" x14ac:dyDescent="0.2">
      <c r="A175" s="7" t="s">
        <v>428</v>
      </c>
      <c r="B175" s="74">
        <v>1426.76</v>
      </c>
      <c r="C175" s="6">
        <v>2750</v>
      </c>
    </row>
    <row r="176" spans="1:3" x14ac:dyDescent="0.2">
      <c r="A176" s="7" t="s">
        <v>429</v>
      </c>
      <c r="B176" s="325"/>
      <c r="C176" s="6">
        <v>250</v>
      </c>
    </row>
    <row r="177" spans="1:3" x14ac:dyDescent="0.2">
      <c r="A177" s="7" t="s">
        <v>481</v>
      </c>
      <c r="B177" s="325">
        <v>225</v>
      </c>
      <c r="C177" s="6">
        <v>500</v>
      </c>
    </row>
    <row r="178" spans="1:3" x14ac:dyDescent="0.2">
      <c r="A178" s="7" t="s">
        <v>430</v>
      </c>
      <c r="B178" s="9">
        <f>(((((((B170)+(B171))+(B172))+(B173))+(B174))+(B175))+(B176))+(B177)</f>
        <v>3716.29</v>
      </c>
      <c r="C178" s="9">
        <f>(((((((C170)+(C171))+(C172))+(C173))+(C174))+(C175))+(C176))+(C177)</f>
        <v>5700</v>
      </c>
    </row>
    <row r="179" spans="1:3" x14ac:dyDescent="0.2">
      <c r="A179" s="7" t="s">
        <v>431</v>
      </c>
      <c r="B179" s="8"/>
      <c r="C179" s="8"/>
    </row>
    <row r="180" spans="1:3" x14ac:dyDescent="0.2">
      <c r="A180" s="7" t="s">
        <v>432</v>
      </c>
      <c r="B180" s="83">
        <v>1360.03</v>
      </c>
      <c r="C180" s="6">
        <v>150</v>
      </c>
    </row>
    <row r="181" spans="1:3" x14ac:dyDescent="0.2">
      <c r="A181" s="7" t="s">
        <v>793</v>
      </c>
      <c r="B181" s="6"/>
      <c r="C181" s="6"/>
    </row>
    <row r="182" spans="1:3" x14ac:dyDescent="0.2">
      <c r="A182" s="7" t="s">
        <v>433</v>
      </c>
      <c r="B182" s="6"/>
      <c r="C182" s="6">
        <v>150</v>
      </c>
    </row>
    <row r="183" spans="1:3" x14ac:dyDescent="0.2">
      <c r="A183" s="7" t="s">
        <v>509</v>
      </c>
      <c r="B183" s="83"/>
      <c r="C183" s="6">
        <v>500</v>
      </c>
    </row>
    <row r="184" spans="1:3" x14ac:dyDescent="0.2">
      <c r="A184" s="7" t="s">
        <v>434</v>
      </c>
      <c r="B184" s="83">
        <v>3083.51</v>
      </c>
      <c r="C184" s="6">
        <v>4000</v>
      </c>
    </row>
    <row r="185" spans="1:3" x14ac:dyDescent="0.2">
      <c r="A185" s="7" t="s">
        <v>435</v>
      </c>
      <c r="B185" s="83">
        <v>1468.51</v>
      </c>
      <c r="C185" s="6">
        <v>1500</v>
      </c>
    </row>
    <row r="186" spans="1:3" x14ac:dyDescent="0.2">
      <c r="A186" s="7" t="s">
        <v>436</v>
      </c>
      <c r="B186" s="83">
        <v>550</v>
      </c>
      <c r="C186" s="6">
        <v>700</v>
      </c>
    </row>
    <row r="187" spans="1:3" x14ac:dyDescent="0.2">
      <c r="A187" s="7" t="s">
        <v>437</v>
      </c>
      <c r="B187" s="83">
        <v>7699.7</v>
      </c>
      <c r="C187" s="6">
        <v>6000</v>
      </c>
    </row>
    <row r="188" spans="1:3" x14ac:dyDescent="0.2">
      <c r="A188" s="7" t="s">
        <v>438</v>
      </c>
      <c r="B188" s="6">
        <v>5573.82</v>
      </c>
      <c r="C188" s="6">
        <v>3000</v>
      </c>
    </row>
    <row r="189" spans="1:3" x14ac:dyDescent="0.2">
      <c r="A189" s="7" t="s">
        <v>719</v>
      </c>
      <c r="B189" s="6"/>
      <c r="C189" s="6">
        <v>0</v>
      </c>
    </row>
    <row r="190" spans="1:3" x14ac:dyDescent="0.2">
      <c r="A190" s="7" t="s">
        <v>2218</v>
      </c>
      <c r="B190" s="6">
        <v>3274.6</v>
      </c>
      <c r="C190" s="6"/>
    </row>
    <row r="191" spans="1:3" x14ac:dyDescent="0.2">
      <c r="A191" s="7" t="s">
        <v>439</v>
      </c>
      <c r="B191" s="6">
        <v>1763.74</v>
      </c>
      <c r="C191" s="6">
        <v>250</v>
      </c>
    </row>
    <row r="192" spans="1:3" x14ac:dyDescent="0.2">
      <c r="A192" s="7" t="s">
        <v>440</v>
      </c>
      <c r="B192" s="9">
        <f>SUM(B180:B191)</f>
        <v>24773.91</v>
      </c>
      <c r="C192" s="9">
        <f>(((((((((C179)+(C180))+(C182))+(C183))+(C184))+(C185))+(C186))+(C187))+(C188))+(C191)</f>
        <v>16250</v>
      </c>
    </row>
    <row r="193" spans="1:10" x14ac:dyDescent="0.2">
      <c r="A193" s="7" t="s">
        <v>293</v>
      </c>
      <c r="B193" s="9">
        <f>((((B159)+(B164))+(B169))+(B178))+(B192)</f>
        <v>51944</v>
      </c>
      <c r="C193" s="9">
        <f>((((C159)+(C164))+(C169))+(C178))+(C192)</f>
        <v>46950</v>
      </c>
    </row>
    <row r="194" spans="1:10" x14ac:dyDescent="0.2">
      <c r="A194" s="7" t="s">
        <v>294</v>
      </c>
      <c r="B194" s="9">
        <f>B70+B92+B107+B158+B193</f>
        <v>354514.63</v>
      </c>
      <c r="C194" s="73">
        <f>C70+C92+C107+C158+C193</f>
        <v>352966</v>
      </c>
    </row>
    <row r="195" spans="1:10" x14ac:dyDescent="0.2">
      <c r="A195" s="7" t="s">
        <v>326</v>
      </c>
      <c r="B195" s="9">
        <f>B194</f>
        <v>354514.63</v>
      </c>
      <c r="C195" s="9">
        <f>C194</f>
        <v>352966</v>
      </c>
    </row>
    <row r="196" spans="1:10" x14ac:dyDescent="0.2">
      <c r="A196" s="7" t="s">
        <v>327</v>
      </c>
      <c r="B196" s="326">
        <f>(B41)-(B195)</f>
        <v>-45829.02999999997</v>
      </c>
      <c r="C196" s="9">
        <f>(C41)-(C195)</f>
        <v>234</v>
      </c>
    </row>
    <row r="197" spans="1:10" x14ac:dyDescent="0.2">
      <c r="A197" s="7"/>
      <c r="B197" s="9"/>
      <c r="C197" s="9"/>
    </row>
    <row r="198" spans="1:10" x14ac:dyDescent="0.2">
      <c r="A198" s="7"/>
      <c r="B198" s="327"/>
      <c r="C198" s="8"/>
    </row>
    <row r="199" spans="1:10" x14ac:dyDescent="0.2">
      <c r="A199" s="7"/>
      <c r="B199" s="327"/>
      <c r="C199" s="8"/>
    </row>
    <row r="200" spans="1:10" x14ac:dyDescent="0.2">
      <c r="A200" s="7"/>
      <c r="B200" s="327"/>
      <c r="C200" s="8"/>
    </row>
    <row r="201" spans="1:10" x14ac:dyDescent="0.2">
      <c r="A201" s="7"/>
      <c r="B201" s="327"/>
      <c r="C201" s="8"/>
    </row>
    <row r="202" spans="1:10" x14ac:dyDescent="0.2">
      <c r="A202" s="7"/>
      <c r="B202" s="327"/>
      <c r="C202" s="8"/>
    </row>
    <row r="203" spans="1:10" ht="24" customHeight="1" x14ac:dyDescent="0.2">
      <c r="A203" s="7" t="s">
        <v>2478</v>
      </c>
      <c r="B203" s="328">
        <v>15488.56</v>
      </c>
      <c r="E203" s="56"/>
    </row>
    <row r="204" spans="1:10" x14ac:dyDescent="0.2">
      <c r="B204" s="1"/>
    </row>
    <row r="205" spans="1:10" ht="16" thickBot="1" x14ac:dyDescent="0.25">
      <c r="B205" s="329">
        <f>B196+B203+B204</f>
        <v>-30340.469999999972</v>
      </c>
    </row>
    <row r="206" spans="1:10" ht="21.5" customHeight="1" x14ac:dyDescent="0.2">
      <c r="A206" s="7"/>
      <c r="B206" s="327"/>
      <c r="C206" s="55"/>
      <c r="E206" s="56"/>
    </row>
    <row r="207" spans="1:10" x14ac:dyDescent="0.2">
      <c r="A207" t="s">
        <v>520</v>
      </c>
      <c r="B207" s="330">
        <v>-45819.1</v>
      </c>
      <c r="E207" s="80"/>
    </row>
    <row r="208" spans="1:10" x14ac:dyDescent="0.2">
      <c r="A208" t="s">
        <v>652</v>
      </c>
      <c r="B208" s="1">
        <v>6771.61</v>
      </c>
      <c r="J208" s="51"/>
    </row>
    <row r="209" spans="1:10" x14ac:dyDescent="0.2">
      <c r="A209" t="s">
        <v>1778</v>
      </c>
      <c r="B209" s="1"/>
      <c r="J209" s="51"/>
    </row>
    <row r="210" spans="1:10" x14ac:dyDescent="0.2">
      <c r="A210" t="s">
        <v>2535</v>
      </c>
      <c r="B210" s="1">
        <v>180</v>
      </c>
    </row>
    <row r="211" spans="1:10" x14ac:dyDescent="0.2">
      <c r="A211" t="s">
        <v>2536</v>
      </c>
      <c r="B211" s="327">
        <v>300</v>
      </c>
      <c r="G211" s="51"/>
    </row>
    <row r="212" spans="1:10" x14ac:dyDescent="0.2">
      <c r="A212" t="s">
        <v>650</v>
      </c>
      <c r="B212" s="331">
        <v>9968.98</v>
      </c>
    </row>
    <row r="213" spans="1:10" x14ac:dyDescent="0.2">
      <c r="A213" t="s">
        <v>542</v>
      </c>
      <c r="B213" s="332"/>
    </row>
    <row r="214" spans="1:10" x14ac:dyDescent="0.2">
      <c r="D214" s="1"/>
    </row>
    <row r="215" spans="1:10" x14ac:dyDescent="0.2">
      <c r="A215" t="s">
        <v>521</v>
      </c>
      <c r="B215" s="332"/>
    </row>
    <row r="216" spans="1:10" x14ac:dyDescent="0.2">
      <c r="B216" s="1"/>
    </row>
    <row r="217" spans="1:10" ht="16" thickBot="1" x14ac:dyDescent="0.25">
      <c r="A217" s="12" t="s">
        <v>522</v>
      </c>
      <c r="B217" s="333">
        <f>SUM(B205:B215)</f>
        <v>-58938.979999999981</v>
      </c>
    </row>
    <row r="218" spans="1:10" ht="16" thickTop="1" x14ac:dyDescent="0.2">
      <c r="B218" s="1"/>
    </row>
    <row r="219" spans="1:10" x14ac:dyDescent="0.2">
      <c r="B219" s="1"/>
    </row>
    <row r="220" spans="1:10" x14ac:dyDescent="0.2">
      <c r="B220" s="1"/>
    </row>
    <row r="221" spans="1:10" x14ac:dyDescent="0.2">
      <c r="B221" s="1"/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AFE05-3335-4A47-A8C3-5097216D9A5B}">
  <dimension ref="A1:G281"/>
  <sheetViews>
    <sheetView workbookViewId="0">
      <pane ySplit="5" topLeftCell="A6" activePane="bottomLeft" state="frozen"/>
      <selection pane="bottomLeft" sqref="A1:G1"/>
    </sheetView>
  </sheetViews>
  <sheetFormatPr baseColWidth="10" defaultColWidth="8.83203125" defaultRowHeight="15" x14ac:dyDescent="0.2"/>
  <cols>
    <col min="1" max="1" width="55" customWidth="1"/>
    <col min="2" max="2" width="11.1640625" customWidth="1"/>
    <col min="3" max="3" width="9.5" customWidth="1"/>
    <col min="4" max="4" width="10.33203125" customWidth="1"/>
    <col min="5" max="5" width="11.1640625" customWidth="1"/>
    <col min="6" max="6" width="7.6640625" customWidth="1"/>
    <col min="7" max="7" width="11.1640625" customWidth="1"/>
  </cols>
  <sheetData>
    <row r="1" spans="1:7" ht="18" x14ac:dyDescent="0.2">
      <c r="A1" s="336" t="s">
        <v>64</v>
      </c>
      <c r="B1" s="335"/>
      <c r="C1" s="335"/>
      <c r="D1" s="335"/>
      <c r="E1" s="335"/>
      <c r="F1" s="335"/>
      <c r="G1" s="335"/>
    </row>
    <row r="2" spans="1:7" ht="18" x14ac:dyDescent="0.2">
      <c r="A2" s="336" t="s">
        <v>737</v>
      </c>
      <c r="B2" s="335"/>
      <c r="C2" s="335"/>
      <c r="D2" s="335"/>
      <c r="E2" s="335"/>
      <c r="F2" s="335"/>
      <c r="G2" s="335"/>
    </row>
    <row r="3" spans="1:7" x14ac:dyDescent="0.2">
      <c r="A3" s="337" t="s">
        <v>2675</v>
      </c>
      <c r="B3" s="335"/>
      <c r="C3" s="335"/>
      <c r="D3" s="335"/>
      <c r="E3" s="335"/>
      <c r="F3" s="335"/>
      <c r="G3" s="335"/>
    </row>
    <row r="5" spans="1:7" ht="40" x14ac:dyDescent="0.2">
      <c r="A5" s="11"/>
      <c r="B5" s="128" t="s">
        <v>5</v>
      </c>
      <c r="C5" s="128" t="s">
        <v>6</v>
      </c>
      <c r="D5" s="128" t="s">
        <v>7</v>
      </c>
      <c r="E5" s="128" t="s">
        <v>722</v>
      </c>
      <c r="F5" s="128" t="s">
        <v>2059</v>
      </c>
      <c r="G5" s="128" t="s">
        <v>8</v>
      </c>
    </row>
    <row r="6" spans="1:7" x14ac:dyDescent="0.2">
      <c r="A6" s="129" t="s">
        <v>0</v>
      </c>
      <c r="B6" s="130"/>
      <c r="C6" s="130"/>
      <c r="D6" s="130"/>
      <c r="E6" s="130"/>
      <c r="F6" s="130"/>
      <c r="G6" s="130"/>
    </row>
    <row r="7" spans="1:7" x14ac:dyDescent="0.2">
      <c r="A7" s="129" t="s">
        <v>234</v>
      </c>
      <c r="B7" s="130"/>
      <c r="C7" s="130"/>
      <c r="D7" s="130"/>
      <c r="E7" s="130"/>
      <c r="F7" s="130"/>
      <c r="G7" s="131">
        <f t="shared" ref="G7:G50" si="0">((((B7)+(C7))+(D7))+(E7))+(F7)</f>
        <v>0</v>
      </c>
    </row>
    <row r="8" spans="1:7" x14ac:dyDescent="0.2">
      <c r="A8" s="129" t="s">
        <v>235</v>
      </c>
      <c r="B8" s="130"/>
      <c r="C8" s="130"/>
      <c r="D8" s="130"/>
      <c r="E8" s="130"/>
      <c r="F8" s="130"/>
      <c r="G8" s="131">
        <f t="shared" si="0"/>
        <v>0</v>
      </c>
    </row>
    <row r="9" spans="1:7" x14ac:dyDescent="0.2">
      <c r="A9" s="129" t="s">
        <v>236</v>
      </c>
      <c r="B9" s="130"/>
      <c r="C9" s="130"/>
      <c r="D9" s="131">
        <f>149677.5</f>
        <v>149677.5</v>
      </c>
      <c r="E9" s="130"/>
      <c r="F9" s="130"/>
      <c r="G9" s="131">
        <f t="shared" si="0"/>
        <v>149677.5</v>
      </c>
    </row>
    <row r="10" spans="1:7" x14ac:dyDescent="0.2">
      <c r="A10" s="129" t="s">
        <v>237</v>
      </c>
      <c r="B10" s="130"/>
      <c r="C10" s="130"/>
      <c r="D10" s="131">
        <f>0</f>
        <v>0</v>
      </c>
      <c r="E10" s="130"/>
      <c r="F10" s="130"/>
      <c r="G10" s="131">
        <f t="shared" si="0"/>
        <v>0</v>
      </c>
    </row>
    <row r="11" spans="1:7" x14ac:dyDescent="0.2">
      <c r="A11" s="129" t="s">
        <v>238</v>
      </c>
      <c r="B11" s="132">
        <f>((B8)+(B9))+(B10)</f>
        <v>0</v>
      </c>
      <c r="C11" s="132">
        <f>((C8)+(C9))+(C10)</f>
        <v>0</v>
      </c>
      <c r="D11" s="132">
        <f>((D8)+(D9))+(D10)</f>
        <v>149677.5</v>
      </c>
      <c r="E11" s="132">
        <f>((E8)+(E9))+(E10)</f>
        <v>0</v>
      </c>
      <c r="F11" s="132">
        <f>((F8)+(F9))+(F10)</f>
        <v>0</v>
      </c>
      <c r="G11" s="132">
        <f t="shared" si="0"/>
        <v>149677.5</v>
      </c>
    </row>
    <row r="12" spans="1:7" x14ac:dyDescent="0.2">
      <c r="A12" s="129" t="s">
        <v>469</v>
      </c>
      <c r="B12" s="130"/>
      <c r="C12" s="130"/>
      <c r="D12" s="130"/>
      <c r="E12" s="130"/>
      <c r="F12" s="130"/>
      <c r="G12" s="131">
        <f t="shared" si="0"/>
        <v>0</v>
      </c>
    </row>
    <row r="13" spans="1:7" x14ac:dyDescent="0.2">
      <c r="A13" s="129" t="s">
        <v>239</v>
      </c>
      <c r="B13" s="130"/>
      <c r="C13" s="130"/>
      <c r="D13" s="130"/>
      <c r="E13" s="131">
        <f>169150</f>
        <v>169150</v>
      </c>
      <c r="F13" s="130"/>
      <c r="G13" s="131">
        <f t="shared" si="0"/>
        <v>169150</v>
      </c>
    </row>
    <row r="14" spans="1:7" x14ac:dyDescent="0.2">
      <c r="A14" s="129" t="s">
        <v>240</v>
      </c>
      <c r="B14" s="130"/>
      <c r="C14" s="130"/>
      <c r="D14" s="130"/>
      <c r="E14" s="131">
        <f>100</f>
        <v>100</v>
      </c>
      <c r="F14" s="130"/>
      <c r="G14" s="131">
        <f t="shared" si="0"/>
        <v>100</v>
      </c>
    </row>
    <row r="15" spans="1:7" x14ac:dyDescent="0.2">
      <c r="A15" s="129" t="s">
        <v>241</v>
      </c>
      <c r="B15" s="130"/>
      <c r="C15" s="130"/>
      <c r="D15" s="130"/>
      <c r="E15" s="131">
        <f>0</f>
        <v>0</v>
      </c>
      <c r="F15" s="130"/>
      <c r="G15" s="131">
        <f t="shared" si="0"/>
        <v>0</v>
      </c>
    </row>
    <row r="16" spans="1:7" x14ac:dyDescent="0.2">
      <c r="A16" s="129" t="s">
        <v>242</v>
      </c>
      <c r="B16" s="132">
        <f>((B13)+(B14))+(B15)</f>
        <v>0</v>
      </c>
      <c r="C16" s="132">
        <f>((C13)+(C14))+(C15)</f>
        <v>0</v>
      </c>
      <c r="D16" s="132">
        <f>((D13)+(D14))+(D15)</f>
        <v>0</v>
      </c>
      <c r="E16" s="132">
        <f>((E13)+(E14))+(E15)</f>
        <v>169250</v>
      </c>
      <c r="F16" s="132">
        <f>((F13)+(F14))+(F15)</f>
        <v>0</v>
      </c>
      <c r="G16" s="132">
        <f t="shared" si="0"/>
        <v>169250</v>
      </c>
    </row>
    <row r="17" spans="1:7" x14ac:dyDescent="0.2">
      <c r="A17" s="129" t="s">
        <v>470</v>
      </c>
      <c r="B17" s="132">
        <f>(B12)+(B16)</f>
        <v>0</v>
      </c>
      <c r="C17" s="132">
        <f>(C12)+(C16)</f>
        <v>0</v>
      </c>
      <c r="D17" s="132">
        <f>(D12)+(D16)</f>
        <v>0</v>
      </c>
      <c r="E17" s="132">
        <f>(E12)+(E16)</f>
        <v>169250</v>
      </c>
      <c r="F17" s="132">
        <f>(F12)+(F16)</f>
        <v>0</v>
      </c>
      <c r="G17" s="132">
        <f t="shared" si="0"/>
        <v>169250</v>
      </c>
    </row>
    <row r="18" spans="1:7" x14ac:dyDescent="0.2">
      <c r="A18" s="129" t="s">
        <v>243</v>
      </c>
      <c r="B18" s="130"/>
      <c r="C18" s="130"/>
      <c r="D18" s="130"/>
      <c r="E18" s="130"/>
      <c r="F18" s="130"/>
      <c r="G18" s="131">
        <f t="shared" si="0"/>
        <v>0</v>
      </c>
    </row>
    <row r="19" spans="1:7" x14ac:dyDescent="0.2">
      <c r="A19" s="129" t="s">
        <v>247</v>
      </c>
      <c r="B19" s="130"/>
      <c r="C19" s="130"/>
      <c r="D19" s="130"/>
      <c r="E19" s="130"/>
      <c r="F19" s="130"/>
      <c r="G19" s="131">
        <f t="shared" si="0"/>
        <v>0</v>
      </c>
    </row>
    <row r="20" spans="1:7" x14ac:dyDescent="0.2">
      <c r="A20" s="129" t="s">
        <v>1601</v>
      </c>
      <c r="B20" s="130"/>
      <c r="C20" s="130"/>
      <c r="D20" s="130"/>
      <c r="E20" s="131">
        <f>35000</f>
        <v>35000</v>
      </c>
      <c r="F20" s="130"/>
      <c r="G20" s="131">
        <f t="shared" si="0"/>
        <v>35000</v>
      </c>
    </row>
    <row r="21" spans="1:7" x14ac:dyDescent="0.2">
      <c r="A21" s="129" t="s">
        <v>961</v>
      </c>
      <c r="B21" s="130"/>
      <c r="C21" s="130"/>
      <c r="D21" s="130"/>
      <c r="E21" s="131">
        <f>5000</f>
        <v>5000</v>
      </c>
      <c r="F21" s="130"/>
      <c r="G21" s="131">
        <f t="shared" si="0"/>
        <v>5000</v>
      </c>
    </row>
    <row r="22" spans="1:7" x14ac:dyDescent="0.2">
      <c r="A22" s="129" t="s">
        <v>672</v>
      </c>
      <c r="B22" s="130"/>
      <c r="C22" s="130"/>
      <c r="D22" s="130"/>
      <c r="E22" s="131">
        <f>12.22</f>
        <v>12.22</v>
      </c>
      <c r="F22" s="130"/>
      <c r="G22" s="131">
        <f t="shared" si="0"/>
        <v>12.22</v>
      </c>
    </row>
    <row r="23" spans="1:7" x14ac:dyDescent="0.2">
      <c r="A23" s="129" t="s">
        <v>2676</v>
      </c>
      <c r="B23" s="130"/>
      <c r="C23" s="130"/>
      <c r="D23" s="130"/>
      <c r="E23" s="131">
        <f>216.02</f>
        <v>216.02</v>
      </c>
      <c r="F23" s="130"/>
      <c r="G23" s="131">
        <f t="shared" si="0"/>
        <v>216.02</v>
      </c>
    </row>
    <row r="24" spans="1:7" x14ac:dyDescent="0.2">
      <c r="A24" s="129" t="s">
        <v>248</v>
      </c>
      <c r="B24" s="132">
        <f>((((B19)+(B20))+(B21))+(B22))+(B23)</f>
        <v>0</v>
      </c>
      <c r="C24" s="132">
        <f>((((C19)+(C20))+(C21))+(C22))+(C23)</f>
        <v>0</v>
      </c>
      <c r="D24" s="132">
        <f>((((D19)+(D20))+(D21))+(D22))+(D23)</f>
        <v>0</v>
      </c>
      <c r="E24" s="132">
        <f>((((E19)+(E20))+(E21))+(E22))+(E23)</f>
        <v>40228.239999999998</v>
      </c>
      <c r="F24" s="132">
        <f>((((F19)+(F20))+(F21))+(F22))+(F23)</f>
        <v>0</v>
      </c>
      <c r="G24" s="132">
        <f t="shared" si="0"/>
        <v>40228.239999999998</v>
      </c>
    </row>
    <row r="25" spans="1:7" x14ac:dyDescent="0.2">
      <c r="A25" s="129" t="s">
        <v>249</v>
      </c>
      <c r="B25" s="132">
        <f>(B18)+(B24)</f>
        <v>0</v>
      </c>
      <c r="C25" s="132">
        <f>(C18)+(C24)</f>
        <v>0</v>
      </c>
      <c r="D25" s="132">
        <f>(D18)+(D24)</f>
        <v>0</v>
      </c>
      <c r="E25" s="132">
        <f>(E18)+(E24)</f>
        <v>40228.239999999998</v>
      </c>
      <c r="F25" s="132">
        <f>(F18)+(F24)</f>
        <v>0</v>
      </c>
      <c r="G25" s="132">
        <f t="shared" si="0"/>
        <v>40228.239999999998</v>
      </c>
    </row>
    <row r="26" spans="1:7" x14ac:dyDescent="0.2">
      <c r="A26" s="129" t="s">
        <v>250</v>
      </c>
      <c r="B26" s="132">
        <f>(((B7)+(B11))+(B17))+(B25)</f>
        <v>0</v>
      </c>
      <c r="C26" s="132">
        <f>(((C7)+(C11))+(C17))+(C25)</f>
        <v>0</v>
      </c>
      <c r="D26" s="132">
        <f>(((D7)+(D11))+(D17))+(D25)</f>
        <v>149677.5</v>
      </c>
      <c r="E26" s="132">
        <f>(((E7)+(E11))+(E17))+(E25)</f>
        <v>209478.24</v>
      </c>
      <c r="F26" s="132">
        <f>(((F7)+(F11))+(F17))+(F25)</f>
        <v>0</v>
      </c>
      <c r="G26" s="132">
        <f t="shared" si="0"/>
        <v>359155.74</v>
      </c>
    </row>
    <row r="27" spans="1:7" x14ac:dyDescent="0.2">
      <c r="A27" s="129" t="s">
        <v>251</v>
      </c>
      <c r="B27" s="130"/>
      <c r="C27" s="130"/>
      <c r="D27" s="130"/>
      <c r="E27" s="130"/>
      <c r="F27" s="130"/>
      <c r="G27" s="131">
        <f t="shared" si="0"/>
        <v>0</v>
      </c>
    </row>
    <row r="28" spans="1:7" x14ac:dyDescent="0.2">
      <c r="A28" s="129" t="s">
        <v>252</v>
      </c>
      <c r="B28" s="130"/>
      <c r="C28" s="130"/>
      <c r="D28" s="130"/>
      <c r="E28" s="130"/>
      <c r="F28" s="130"/>
      <c r="G28" s="131">
        <f t="shared" si="0"/>
        <v>0</v>
      </c>
    </row>
    <row r="29" spans="1:7" x14ac:dyDescent="0.2">
      <c r="A29" s="129" t="s">
        <v>253</v>
      </c>
      <c r="B29" s="131">
        <f>87011.47</f>
        <v>87011.47</v>
      </c>
      <c r="C29" s="130"/>
      <c r="D29" s="130"/>
      <c r="E29" s="130"/>
      <c r="F29" s="130"/>
      <c r="G29" s="131">
        <f t="shared" si="0"/>
        <v>87011.47</v>
      </c>
    </row>
    <row r="30" spans="1:7" x14ac:dyDescent="0.2">
      <c r="A30" s="129" t="s">
        <v>254</v>
      </c>
      <c r="B30" s="131">
        <f>52534.3</f>
        <v>52534.3</v>
      </c>
      <c r="C30" s="130"/>
      <c r="D30" s="130"/>
      <c r="E30" s="130"/>
      <c r="F30" s="130"/>
      <c r="G30" s="131">
        <f t="shared" si="0"/>
        <v>52534.3</v>
      </c>
    </row>
    <row r="31" spans="1:7" x14ac:dyDescent="0.2">
      <c r="A31" s="129" t="s">
        <v>587</v>
      </c>
      <c r="B31" s="131">
        <f>393.5</f>
        <v>393.5</v>
      </c>
      <c r="C31" s="130"/>
      <c r="D31" s="130"/>
      <c r="E31" s="130"/>
      <c r="F31" s="130"/>
      <c r="G31" s="131">
        <f t="shared" si="0"/>
        <v>393.5</v>
      </c>
    </row>
    <row r="32" spans="1:7" x14ac:dyDescent="0.2">
      <c r="A32" s="129" t="s">
        <v>255</v>
      </c>
      <c r="B32" s="132">
        <f>(((B28)+(B29))+(B30))+(B31)</f>
        <v>139939.27000000002</v>
      </c>
      <c r="C32" s="132">
        <f>(((C28)+(C29))+(C30))+(C31)</f>
        <v>0</v>
      </c>
      <c r="D32" s="132">
        <f>(((D28)+(D29))+(D30))+(D31)</f>
        <v>0</v>
      </c>
      <c r="E32" s="132">
        <f>(((E28)+(E29))+(E30))+(E31)</f>
        <v>0</v>
      </c>
      <c r="F32" s="132">
        <f>(((F28)+(F29))+(F30))+(F31)</f>
        <v>0</v>
      </c>
      <c r="G32" s="132">
        <f t="shared" si="0"/>
        <v>139939.27000000002</v>
      </c>
    </row>
    <row r="33" spans="1:7" x14ac:dyDescent="0.2">
      <c r="A33" s="129" t="s">
        <v>256</v>
      </c>
      <c r="B33" s="130"/>
      <c r="C33" s="130"/>
      <c r="D33" s="130"/>
      <c r="E33" s="130"/>
      <c r="F33" s="130"/>
      <c r="G33" s="131">
        <f t="shared" si="0"/>
        <v>0</v>
      </c>
    </row>
    <row r="34" spans="1:7" x14ac:dyDescent="0.2">
      <c r="A34" s="129" t="s">
        <v>257</v>
      </c>
      <c r="B34" s="130"/>
      <c r="C34" s="130"/>
      <c r="D34" s="130"/>
      <c r="E34" s="130"/>
      <c r="F34" s="130"/>
      <c r="G34" s="131">
        <f t="shared" si="0"/>
        <v>0</v>
      </c>
    </row>
    <row r="35" spans="1:7" x14ac:dyDescent="0.2">
      <c r="A35" s="129" t="s">
        <v>461</v>
      </c>
      <c r="B35" s="131">
        <f>31387.5</f>
        <v>31387.5</v>
      </c>
      <c r="C35" s="130"/>
      <c r="D35" s="130"/>
      <c r="E35" s="130"/>
      <c r="F35" s="130"/>
      <c r="G35" s="131">
        <f t="shared" si="0"/>
        <v>31387.5</v>
      </c>
    </row>
    <row r="36" spans="1:7" x14ac:dyDescent="0.2">
      <c r="A36" s="129" t="s">
        <v>258</v>
      </c>
      <c r="B36" s="131">
        <f>6050</f>
        <v>6050</v>
      </c>
      <c r="C36" s="130"/>
      <c r="D36" s="130"/>
      <c r="E36" s="130"/>
      <c r="F36" s="130"/>
      <c r="G36" s="131">
        <f t="shared" si="0"/>
        <v>6050</v>
      </c>
    </row>
    <row r="37" spans="1:7" x14ac:dyDescent="0.2">
      <c r="A37" s="129" t="s">
        <v>259</v>
      </c>
      <c r="B37" s="131">
        <f>17500</f>
        <v>17500</v>
      </c>
      <c r="C37" s="130"/>
      <c r="D37" s="130"/>
      <c r="E37" s="130"/>
      <c r="F37" s="130"/>
      <c r="G37" s="131">
        <f t="shared" si="0"/>
        <v>17500</v>
      </c>
    </row>
    <row r="38" spans="1:7" x14ac:dyDescent="0.2">
      <c r="A38" s="129" t="s">
        <v>483</v>
      </c>
      <c r="B38" s="131">
        <f>3943</f>
        <v>3943</v>
      </c>
      <c r="C38" s="130"/>
      <c r="D38" s="130"/>
      <c r="E38" s="130"/>
      <c r="F38" s="130"/>
      <c r="G38" s="131">
        <f t="shared" si="0"/>
        <v>3943</v>
      </c>
    </row>
    <row r="39" spans="1:7" x14ac:dyDescent="0.2">
      <c r="A39" s="129" t="s">
        <v>382</v>
      </c>
      <c r="B39" s="131">
        <f>90000</f>
        <v>90000</v>
      </c>
      <c r="C39" s="130"/>
      <c r="D39" s="130"/>
      <c r="E39" s="130"/>
      <c r="F39" s="130"/>
      <c r="G39" s="131">
        <f t="shared" si="0"/>
        <v>90000</v>
      </c>
    </row>
    <row r="40" spans="1:7" x14ac:dyDescent="0.2">
      <c r="A40" s="129" t="s">
        <v>260</v>
      </c>
      <c r="B40" s="132">
        <f>(((((B34)+(B35))+(B36))+(B37))+(B38))+(B39)</f>
        <v>148880.5</v>
      </c>
      <c r="C40" s="132">
        <f>(((((C34)+(C35))+(C36))+(C37))+(C38))+(C39)</f>
        <v>0</v>
      </c>
      <c r="D40" s="132">
        <f>(((((D34)+(D35))+(D36))+(D37))+(D38))+(D39)</f>
        <v>0</v>
      </c>
      <c r="E40" s="132">
        <f>(((((E34)+(E35))+(E36))+(E37))+(E38))+(E39)</f>
        <v>0</v>
      </c>
      <c r="F40" s="132">
        <f>(((((F34)+(F35))+(F36))+(F37))+(F38))+(F39)</f>
        <v>0</v>
      </c>
      <c r="G40" s="132">
        <f t="shared" si="0"/>
        <v>148880.5</v>
      </c>
    </row>
    <row r="41" spans="1:7" x14ac:dyDescent="0.2">
      <c r="A41" s="129" t="s">
        <v>262</v>
      </c>
      <c r="B41" s="132">
        <f>(B33)+(B40)</f>
        <v>148880.5</v>
      </c>
      <c r="C41" s="132">
        <f>(C33)+(C40)</f>
        <v>0</v>
      </c>
      <c r="D41" s="132">
        <f>(D33)+(D40)</f>
        <v>0</v>
      </c>
      <c r="E41" s="132">
        <f>(E33)+(E40)</f>
        <v>0</v>
      </c>
      <c r="F41" s="132">
        <f>(F33)+(F40)</f>
        <v>0</v>
      </c>
      <c r="G41" s="132">
        <f t="shared" si="0"/>
        <v>148880.5</v>
      </c>
    </row>
    <row r="42" spans="1:7" x14ac:dyDescent="0.2">
      <c r="A42" s="129" t="s">
        <v>2479</v>
      </c>
      <c r="B42" s="130"/>
      <c r="C42" s="130"/>
      <c r="D42" s="130"/>
      <c r="E42" s="130"/>
      <c r="F42" s="130"/>
      <c r="G42" s="131">
        <f t="shared" si="0"/>
        <v>0</v>
      </c>
    </row>
    <row r="43" spans="1:7" x14ac:dyDescent="0.2">
      <c r="A43" s="129" t="s">
        <v>1131</v>
      </c>
      <c r="B43" s="131">
        <f>10989.2</f>
        <v>10989.2</v>
      </c>
      <c r="C43" s="130"/>
      <c r="D43" s="130"/>
      <c r="E43" s="130"/>
      <c r="F43" s="130"/>
      <c r="G43" s="131">
        <f t="shared" si="0"/>
        <v>10989.2</v>
      </c>
    </row>
    <row r="44" spans="1:7" x14ac:dyDescent="0.2">
      <c r="A44" s="129" t="s">
        <v>384</v>
      </c>
      <c r="B44" s="131">
        <f>1324.26</f>
        <v>1324.26</v>
      </c>
      <c r="C44" s="130"/>
      <c r="D44" s="130"/>
      <c r="E44" s="130"/>
      <c r="F44" s="130"/>
      <c r="G44" s="131">
        <f t="shared" si="0"/>
        <v>1324.26</v>
      </c>
    </row>
    <row r="45" spans="1:7" x14ac:dyDescent="0.2">
      <c r="A45" s="129" t="s">
        <v>1699</v>
      </c>
      <c r="B45" s="131">
        <f>4127.72</f>
        <v>4127.72</v>
      </c>
      <c r="C45" s="130"/>
      <c r="D45" s="130"/>
      <c r="E45" s="130"/>
      <c r="F45" s="130"/>
      <c r="G45" s="131">
        <f t="shared" si="0"/>
        <v>4127.72</v>
      </c>
    </row>
    <row r="46" spans="1:7" x14ac:dyDescent="0.2">
      <c r="A46" s="129" t="s">
        <v>2480</v>
      </c>
      <c r="B46" s="132">
        <f>(((B42)+(B43))+(B44))+(B45)</f>
        <v>16441.18</v>
      </c>
      <c r="C46" s="132">
        <f>(((C42)+(C43))+(C44))+(C45)</f>
        <v>0</v>
      </c>
      <c r="D46" s="132">
        <f>(((D42)+(D43))+(D44))+(D45)</f>
        <v>0</v>
      </c>
      <c r="E46" s="132">
        <f>(((E42)+(E43))+(E44))+(E45)</f>
        <v>0</v>
      </c>
      <c r="F46" s="132">
        <f>(((F42)+(F43))+(F44))+(F45)</f>
        <v>0</v>
      </c>
      <c r="G46" s="132">
        <f t="shared" si="0"/>
        <v>16441.18</v>
      </c>
    </row>
    <row r="47" spans="1:7" x14ac:dyDescent="0.2">
      <c r="A47" s="129" t="s">
        <v>956</v>
      </c>
      <c r="B47" s="131">
        <f>3424.65</f>
        <v>3424.65</v>
      </c>
      <c r="C47" s="130"/>
      <c r="D47" s="130"/>
      <c r="E47" s="130"/>
      <c r="F47" s="130"/>
      <c r="G47" s="131">
        <f t="shared" si="0"/>
        <v>3424.65</v>
      </c>
    </row>
    <row r="48" spans="1:7" x14ac:dyDescent="0.2">
      <c r="A48" s="129" t="s">
        <v>263</v>
      </c>
      <c r="B48" s="132">
        <f>((((B27)+(B32))+(B41))+(B46))+(B47)</f>
        <v>308685.60000000003</v>
      </c>
      <c r="C48" s="132">
        <f>((((C27)+(C32))+(C41))+(C46))+(C47)</f>
        <v>0</v>
      </c>
      <c r="D48" s="132">
        <f>((((D27)+(D32))+(D41))+(D46))+(D47)</f>
        <v>0</v>
      </c>
      <c r="E48" s="132">
        <f>((((E27)+(E32))+(E41))+(E46))+(E47)</f>
        <v>0</v>
      </c>
      <c r="F48" s="132">
        <f>((((F27)+(F32))+(F41))+(F46))+(F47)</f>
        <v>0</v>
      </c>
      <c r="G48" s="132">
        <f t="shared" si="0"/>
        <v>308685.60000000003</v>
      </c>
    </row>
    <row r="49" spans="1:7" x14ac:dyDescent="0.2">
      <c r="A49" s="129" t="s">
        <v>1</v>
      </c>
      <c r="B49" s="132">
        <f>(B26)+(B48)</f>
        <v>308685.60000000003</v>
      </c>
      <c r="C49" s="132">
        <f>(C26)+(C48)</f>
        <v>0</v>
      </c>
      <c r="D49" s="132">
        <f>(D26)+(D48)</f>
        <v>149677.5</v>
      </c>
      <c r="E49" s="132">
        <f>(E26)+(E48)</f>
        <v>209478.24</v>
      </c>
      <c r="F49" s="132">
        <f>(F26)+(F48)</f>
        <v>0</v>
      </c>
      <c r="G49" s="132">
        <f t="shared" si="0"/>
        <v>667841.34000000008</v>
      </c>
    </row>
    <row r="50" spans="1:7" x14ac:dyDescent="0.2">
      <c r="A50" s="129" t="s">
        <v>2</v>
      </c>
      <c r="B50" s="132">
        <f>(B49)-(0)</f>
        <v>308685.60000000003</v>
      </c>
      <c r="C50" s="132">
        <f>(C49)-(0)</f>
        <v>0</v>
      </c>
      <c r="D50" s="132">
        <f>(D49)-(0)</f>
        <v>149677.5</v>
      </c>
      <c r="E50" s="132">
        <f>(E49)-(0)</f>
        <v>209478.24</v>
      </c>
      <c r="F50" s="132">
        <f>(F49)-(0)</f>
        <v>0</v>
      </c>
      <c r="G50" s="132">
        <f t="shared" si="0"/>
        <v>667841.34000000008</v>
      </c>
    </row>
    <row r="51" spans="1:7" x14ac:dyDescent="0.2">
      <c r="A51" s="129" t="s">
        <v>264</v>
      </c>
      <c r="B51" s="130"/>
      <c r="C51" s="130"/>
      <c r="D51" s="130"/>
      <c r="E51" s="130"/>
      <c r="F51" s="130"/>
      <c r="G51" s="130"/>
    </row>
    <row r="52" spans="1:7" x14ac:dyDescent="0.2">
      <c r="A52" s="129" t="s">
        <v>265</v>
      </c>
      <c r="B52" s="130"/>
      <c r="C52" s="130"/>
      <c r="D52" s="130"/>
      <c r="E52" s="130"/>
      <c r="F52" s="130"/>
      <c r="G52" s="131">
        <f t="shared" ref="G52:G115" si="1">((((B52)+(C52))+(D52))+(E52))+(F52)</f>
        <v>0</v>
      </c>
    </row>
    <row r="53" spans="1:7" x14ac:dyDescent="0.2">
      <c r="A53" s="129" t="s">
        <v>1763</v>
      </c>
      <c r="B53" s="130"/>
      <c r="C53" s="130"/>
      <c r="D53" s="130"/>
      <c r="E53" s="130"/>
      <c r="F53" s="130"/>
      <c r="G53" s="131">
        <f t="shared" si="1"/>
        <v>0</v>
      </c>
    </row>
    <row r="54" spans="1:7" x14ac:dyDescent="0.2">
      <c r="A54" s="129" t="s">
        <v>1642</v>
      </c>
      <c r="B54" s="131">
        <f>0</f>
        <v>0</v>
      </c>
      <c r="C54" s="130"/>
      <c r="D54" s="130"/>
      <c r="E54" s="130"/>
      <c r="F54" s="130"/>
      <c r="G54" s="131">
        <f t="shared" si="1"/>
        <v>0</v>
      </c>
    </row>
    <row r="55" spans="1:7" x14ac:dyDescent="0.2">
      <c r="A55" s="129" t="s">
        <v>1646</v>
      </c>
      <c r="B55" s="131">
        <f>0</f>
        <v>0</v>
      </c>
      <c r="C55" s="130"/>
      <c r="D55" s="130"/>
      <c r="E55" s="130"/>
      <c r="F55" s="130"/>
      <c r="G55" s="131">
        <f t="shared" si="1"/>
        <v>0</v>
      </c>
    </row>
    <row r="56" spans="1:7" x14ac:dyDescent="0.2">
      <c r="A56" s="129" t="s">
        <v>1647</v>
      </c>
      <c r="B56" s="131">
        <f>0</f>
        <v>0</v>
      </c>
      <c r="C56" s="130"/>
      <c r="D56" s="130"/>
      <c r="E56" s="130"/>
      <c r="F56" s="130"/>
      <c r="G56" s="131">
        <f t="shared" si="1"/>
        <v>0</v>
      </c>
    </row>
    <row r="57" spans="1:7" x14ac:dyDescent="0.2">
      <c r="A57" s="129" t="s">
        <v>1648</v>
      </c>
      <c r="B57" s="131">
        <f>2600</f>
        <v>2600</v>
      </c>
      <c r="C57" s="130"/>
      <c r="D57" s="130"/>
      <c r="E57" s="130"/>
      <c r="F57" s="130"/>
      <c r="G57" s="131">
        <f t="shared" si="1"/>
        <v>2600</v>
      </c>
    </row>
    <row r="58" spans="1:7" x14ac:dyDescent="0.2">
      <c r="A58" s="129" t="s">
        <v>1649</v>
      </c>
      <c r="B58" s="131">
        <f>0</f>
        <v>0</v>
      </c>
      <c r="C58" s="130"/>
      <c r="D58" s="130"/>
      <c r="E58" s="130"/>
      <c r="F58" s="130"/>
      <c r="G58" s="131">
        <f t="shared" si="1"/>
        <v>0</v>
      </c>
    </row>
    <row r="59" spans="1:7" x14ac:dyDescent="0.2">
      <c r="A59" s="129" t="s">
        <v>1650</v>
      </c>
      <c r="B59" s="131">
        <f>2265</f>
        <v>2265</v>
      </c>
      <c r="C59" s="130"/>
      <c r="D59" s="130"/>
      <c r="E59" s="130"/>
      <c r="F59" s="130"/>
      <c r="G59" s="131">
        <f t="shared" si="1"/>
        <v>2265</v>
      </c>
    </row>
    <row r="60" spans="1:7" x14ac:dyDescent="0.2">
      <c r="A60" s="129" t="s">
        <v>1653</v>
      </c>
      <c r="B60" s="131">
        <f>1511.25</f>
        <v>1511.25</v>
      </c>
      <c r="C60" s="130"/>
      <c r="D60" s="130"/>
      <c r="E60" s="130"/>
      <c r="F60" s="130"/>
      <c r="G60" s="131">
        <f t="shared" si="1"/>
        <v>1511.25</v>
      </c>
    </row>
    <row r="61" spans="1:7" x14ac:dyDescent="0.2">
      <c r="A61" s="129" t="s">
        <v>1654</v>
      </c>
      <c r="B61" s="131">
        <f>2400</f>
        <v>2400</v>
      </c>
      <c r="C61" s="130"/>
      <c r="D61" s="130"/>
      <c r="E61" s="130"/>
      <c r="F61" s="130"/>
      <c r="G61" s="131">
        <f t="shared" si="1"/>
        <v>2400</v>
      </c>
    </row>
    <row r="62" spans="1:7" x14ac:dyDescent="0.2">
      <c r="A62" s="129" t="s">
        <v>2324</v>
      </c>
      <c r="B62" s="130"/>
      <c r="C62" s="130"/>
      <c r="D62" s="130"/>
      <c r="E62" s="130"/>
      <c r="F62" s="130"/>
      <c r="G62" s="131">
        <f t="shared" si="1"/>
        <v>0</v>
      </c>
    </row>
    <row r="63" spans="1:7" x14ac:dyDescent="0.2">
      <c r="A63" s="129" t="s">
        <v>2325</v>
      </c>
      <c r="B63" s="131">
        <f>41765</f>
        <v>41765</v>
      </c>
      <c r="C63" s="130"/>
      <c r="D63" s="130"/>
      <c r="E63" s="130"/>
      <c r="F63" s="130"/>
      <c r="G63" s="131">
        <f t="shared" si="1"/>
        <v>41765</v>
      </c>
    </row>
    <row r="64" spans="1:7" x14ac:dyDescent="0.2">
      <c r="A64" s="129" t="s">
        <v>2539</v>
      </c>
      <c r="B64" s="131">
        <f>3356.65</f>
        <v>3356.65</v>
      </c>
      <c r="C64" s="130"/>
      <c r="D64" s="130"/>
      <c r="E64" s="130"/>
      <c r="F64" s="130"/>
      <c r="G64" s="131">
        <f t="shared" si="1"/>
        <v>3356.65</v>
      </c>
    </row>
    <row r="65" spans="1:7" x14ac:dyDescent="0.2">
      <c r="A65" s="129" t="s">
        <v>2326</v>
      </c>
      <c r="B65" s="132">
        <f>((B62)+(B63))+(B64)</f>
        <v>45121.65</v>
      </c>
      <c r="C65" s="132">
        <f>((C62)+(C63))+(C64)</f>
        <v>0</v>
      </c>
      <c r="D65" s="132">
        <f>((D62)+(D63))+(D64)</f>
        <v>0</v>
      </c>
      <c r="E65" s="132">
        <f>((E62)+(E63))+(E64)</f>
        <v>0</v>
      </c>
      <c r="F65" s="132">
        <f>((F62)+(F63))+(F64)</f>
        <v>0</v>
      </c>
      <c r="G65" s="132">
        <f t="shared" si="1"/>
        <v>45121.65</v>
      </c>
    </row>
    <row r="66" spans="1:7" x14ac:dyDescent="0.2">
      <c r="A66" s="129" t="s">
        <v>1551</v>
      </c>
      <c r="B66" s="131">
        <f>28295.66</f>
        <v>28295.66</v>
      </c>
      <c r="C66" s="130"/>
      <c r="D66" s="130"/>
      <c r="E66" s="130"/>
      <c r="F66" s="130"/>
      <c r="G66" s="131">
        <f t="shared" si="1"/>
        <v>28295.66</v>
      </c>
    </row>
    <row r="67" spans="1:7" x14ac:dyDescent="0.2">
      <c r="A67" s="129" t="s">
        <v>1657</v>
      </c>
      <c r="B67" s="131">
        <f>931.66</f>
        <v>931.66</v>
      </c>
      <c r="C67" s="130"/>
      <c r="D67" s="130"/>
      <c r="E67" s="130"/>
      <c r="F67" s="130"/>
      <c r="G67" s="131">
        <f t="shared" si="1"/>
        <v>931.66</v>
      </c>
    </row>
    <row r="68" spans="1:7" x14ac:dyDescent="0.2">
      <c r="A68" s="129" t="s">
        <v>2060</v>
      </c>
      <c r="B68" s="131">
        <f>1200</f>
        <v>1200</v>
      </c>
      <c r="C68" s="130"/>
      <c r="D68" s="130"/>
      <c r="E68" s="130"/>
      <c r="F68" s="130"/>
      <c r="G68" s="131">
        <f t="shared" si="1"/>
        <v>1200</v>
      </c>
    </row>
    <row r="69" spans="1:7" x14ac:dyDescent="0.2">
      <c r="A69" s="129" t="s">
        <v>1764</v>
      </c>
      <c r="B69" s="131">
        <f>8850</f>
        <v>8850</v>
      </c>
      <c r="C69" s="130"/>
      <c r="D69" s="130"/>
      <c r="E69" s="130"/>
      <c r="F69" s="130"/>
      <c r="G69" s="131">
        <f t="shared" si="1"/>
        <v>8850</v>
      </c>
    </row>
    <row r="70" spans="1:7" x14ac:dyDescent="0.2">
      <c r="A70" s="129" t="s">
        <v>1765</v>
      </c>
      <c r="B70" s="131">
        <f>5000</f>
        <v>5000</v>
      </c>
      <c r="C70" s="130"/>
      <c r="D70" s="130"/>
      <c r="E70" s="130"/>
      <c r="F70" s="130"/>
      <c r="G70" s="131">
        <f t="shared" si="1"/>
        <v>5000</v>
      </c>
    </row>
    <row r="71" spans="1:7" x14ac:dyDescent="0.2">
      <c r="A71" s="129" t="s">
        <v>1766</v>
      </c>
      <c r="B71" s="132">
        <f>(((((((((((((B54)+(B55))+(B56))+(B57))+(B58))+(B59))+(B60))+(B61))+(B65))+(B66))+(B67))+(B68))+(B69))+(B70)</f>
        <v>98175.22</v>
      </c>
      <c r="C71" s="132">
        <f>(((((((((((((C54)+(C55))+(C56))+(C57))+(C58))+(C59))+(C60))+(C61))+(C65))+(C66))+(C67))+(C68))+(C69))+(C70)</f>
        <v>0</v>
      </c>
      <c r="D71" s="132">
        <f>(((((((((((((D54)+(D55))+(D56))+(D57))+(D58))+(D59))+(D60))+(D61))+(D65))+(D66))+(D67))+(D68))+(D69))+(D70)</f>
        <v>0</v>
      </c>
      <c r="E71" s="132">
        <f>(((((((((((((E54)+(E55))+(E56))+(E57))+(E58))+(E59))+(E60))+(E61))+(E65))+(E66))+(E67))+(E68))+(E69))+(E70)</f>
        <v>0</v>
      </c>
      <c r="F71" s="132">
        <f>(((((((((((((F54)+(F55))+(F56))+(F57))+(F58))+(F59))+(F60))+(F61))+(F65))+(F66))+(F67))+(F68))+(F69))+(F70)</f>
        <v>0</v>
      </c>
      <c r="G71" s="132">
        <f t="shared" si="1"/>
        <v>98175.22</v>
      </c>
    </row>
    <row r="72" spans="1:7" x14ac:dyDescent="0.2">
      <c r="A72" s="129" t="s">
        <v>355</v>
      </c>
      <c r="B72" s="130"/>
      <c r="C72" s="130"/>
      <c r="D72" s="130"/>
      <c r="E72" s="130"/>
      <c r="F72" s="130"/>
      <c r="G72" s="131">
        <f t="shared" si="1"/>
        <v>0</v>
      </c>
    </row>
    <row r="73" spans="1:7" x14ac:dyDescent="0.2">
      <c r="A73" s="129" t="s">
        <v>797</v>
      </c>
      <c r="B73" s="131">
        <f>14147.25</f>
        <v>14147.25</v>
      </c>
      <c r="C73" s="130"/>
      <c r="D73" s="130"/>
      <c r="E73" s="130"/>
      <c r="F73" s="130"/>
      <c r="G73" s="131">
        <f t="shared" si="1"/>
        <v>14147.25</v>
      </c>
    </row>
    <row r="74" spans="1:7" x14ac:dyDescent="0.2">
      <c r="A74" s="129" t="s">
        <v>356</v>
      </c>
      <c r="B74" s="131">
        <f>0</f>
        <v>0</v>
      </c>
      <c r="C74" s="130"/>
      <c r="D74" s="130"/>
      <c r="E74" s="130"/>
      <c r="F74" s="130"/>
      <c r="G74" s="131">
        <f t="shared" si="1"/>
        <v>0</v>
      </c>
    </row>
    <row r="75" spans="1:7" x14ac:dyDescent="0.2">
      <c r="A75" s="129" t="s">
        <v>357</v>
      </c>
      <c r="B75" s="131">
        <f>72673.13</f>
        <v>72673.13</v>
      </c>
      <c r="C75" s="130"/>
      <c r="D75" s="130"/>
      <c r="E75" s="130"/>
      <c r="F75" s="130"/>
      <c r="G75" s="131">
        <f t="shared" si="1"/>
        <v>72673.13</v>
      </c>
    </row>
    <row r="76" spans="1:7" x14ac:dyDescent="0.2">
      <c r="A76" s="129" t="s">
        <v>834</v>
      </c>
      <c r="B76" s="131">
        <f>4170.12</f>
        <v>4170.12</v>
      </c>
      <c r="C76" s="130"/>
      <c r="D76" s="130"/>
      <c r="E76" s="130"/>
      <c r="F76" s="130"/>
      <c r="G76" s="131">
        <f t="shared" si="1"/>
        <v>4170.12</v>
      </c>
    </row>
    <row r="77" spans="1:7" x14ac:dyDescent="0.2">
      <c r="A77" s="129" t="s">
        <v>1658</v>
      </c>
      <c r="B77" s="131">
        <f>537.48</f>
        <v>537.48</v>
      </c>
      <c r="C77" s="130"/>
      <c r="D77" s="130"/>
      <c r="E77" s="130"/>
      <c r="F77" s="130"/>
      <c r="G77" s="131">
        <f t="shared" si="1"/>
        <v>537.48</v>
      </c>
    </row>
    <row r="78" spans="1:7" x14ac:dyDescent="0.2">
      <c r="A78" s="129" t="s">
        <v>2214</v>
      </c>
      <c r="B78" s="131">
        <f>13235.85</f>
        <v>13235.85</v>
      </c>
      <c r="C78" s="130"/>
      <c r="D78" s="130"/>
      <c r="E78" s="130"/>
      <c r="F78" s="130"/>
      <c r="G78" s="131">
        <f t="shared" si="1"/>
        <v>13235.85</v>
      </c>
    </row>
    <row r="79" spans="1:7" x14ac:dyDescent="0.2">
      <c r="A79" s="129" t="s">
        <v>1767</v>
      </c>
      <c r="B79" s="132">
        <f>((((B74)+(B75))+(B76))+(B77))+(B78)</f>
        <v>90616.58</v>
      </c>
      <c r="C79" s="132">
        <f>((((C74)+(C75))+(C76))+(C77))+(C78)</f>
        <v>0</v>
      </c>
      <c r="D79" s="132">
        <f>((((D74)+(D75))+(D76))+(D77))+(D78)</f>
        <v>0</v>
      </c>
      <c r="E79" s="132">
        <f>((((E74)+(E75))+(E76))+(E77))+(E78)</f>
        <v>0</v>
      </c>
      <c r="F79" s="132">
        <f>((((F74)+(F75))+(F76))+(F77))+(F78)</f>
        <v>0</v>
      </c>
      <c r="G79" s="132">
        <f t="shared" si="1"/>
        <v>90616.58</v>
      </c>
    </row>
    <row r="80" spans="1:7" x14ac:dyDescent="0.2">
      <c r="A80" s="129" t="s">
        <v>552</v>
      </c>
      <c r="B80" s="130"/>
      <c r="C80" s="130"/>
      <c r="D80" s="130"/>
      <c r="E80" s="130"/>
      <c r="F80" s="130"/>
      <c r="G80" s="131">
        <f t="shared" si="1"/>
        <v>0</v>
      </c>
    </row>
    <row r="81" spans="1:7" x14ac:dyDescent="0.2">
      <c r="A81" s="129" t="s">
        <v>553</v>
      </c>
      <c r="B81" s="131">
        <f>303.05</f>
        <v>303.05</v>
      </c>
      <c r="C81" s="130"/>
      <c r="D81" s="130"/>
      <c r="E81" s="130"/>
      <c r="F81" s="130"/>
      <c r="G81" s="131">
        <f t="shared" si="1"/>
        <v>303.05</v>
      </c>
    </row>
    <row r="82" spans="1:7" x14ac:dyDescent="0.2">
      <c r="A82" s="129" t="s">
        <v>1768</v>
      </c>
      <c r="B82" s="132">
        <f>(B80)+(B81)</f>
        <v>303.05</v>
      </c>
      <c r="C82" s="132">
        <f>(C80)+(C81)</f>
        <v>0</v>
      </c>
      <c r="D82" s="132">
        <f>(D80)+(D81)</f>
        <v>0</v>
      </c>
      <c r="E82" s="132">
        <f>(E80)+(E81)</f>
        <v>0</v>
      </c>
      <c r="F82" s="132">
        <f>(F80)+(F81)</f>
        <v>0</v>
      </c>
      <c r="G82" s="132">
        <f t="shared" si="1"/>
        <v>303.05</v>
      </c>
    </row>
    <row r="83" spans="1:7" x14ac:dyDescent="0.2">
      <c r="A83" s="129" t="s">
        <v>1769</v>
      </c>
      <c r="B83" s="132">
        <f>(((B72)+(B73))+(B79))+(B82)</f>
        <v>105066.88</v>
      </c>
      <c r="C83" s="132">
        <f>(((C72)+(C73))+(C79))+(C82)</f>
        <v>0</v>
      </c>
      <c r="D83" s="132">
        <f>(((D72)+(D73))+(D79))+(D82)</f>
        <v>0</v>
      </c>
      <c r="E83" s="132">
        <f>(((E72)+(E73))+(E79))+(E82)</f>
        <v>0</v>
      </c>
      <c r="F83" s="132">
        <f>(((F72)+(F73))+(F79))+(F82)</f>
        <v>0</v>
      </c>
      <c r="G83" s="132">
        <f t="shared" si="1"/>
        <v>105066.88</v>
      </c>
    </row>
    <row r="84" spans="1:7" x14ac:dyDescent="0.2">
      <c r="A84" s="129" t="s">
        <v>358</v>
      </c>
      <c r="B84" s="130"/>
      <c r="C84" s="130"/>
      <c r="D84" s="130"/>
      <c r="E84" s="130"/>
      <c r="F84" s="130"/>
      <c r="G84" s="131">
        <f t="shared" si="1"/>
        <v>0</v>
      </c>
    </row>
    <row r="85" spans="1:7" x14ac:dyDescent="0.2">
      <c r="A85" s="129" t="s">
        <v>1020</v>
      </c>
      <c r="B85" s="131">
        <f>6245.43</f>
        <v>6245.43</v>
      </c>
      <c r="C85" s="130"/>
      <c r="D85" s="130"/>
      <c r="E85" s="130"/>
      <c r="F85" s="130"/>
      <c r="G85" s="131">
        <f t="shared" si="1"/>
        <v>6245.43</v>
      </c>
    </row>
    <row r="86" spans="1:7" x14ac:dyDescent="0.2">
      <c r="A86" s="129" t="s">
        <v>566</v>
      </c>
      <c r="B86" s="131">
        <f>18931.6</f>
        <v>18931.599999999999</v>
      </c>
      <c r="C86" s="130"/>
      <c r="D86" s="130"/>
      <c r="E86" s="130"/>
      <c r="F86" s="130"/>
      <c r="G86" s="131">
        <f t="shared" si="1"/>
        <v>18931.599999999999</v>
      </c>
    </row>
    <row r="87" spans="1:7" x14ac:dyDescent="0.2">
      <c r="A87" s="129" t="s">
        <v>767</v>
      </c>
      <c r="B87" s="131">
        <f>4795</f>
        <v>4795</v>
      </c>
      <c r="C87" s="130"/>
      <c r="D87" s="130"/>
      <c r="E87" s="130"/>
      <c r="F87" s="130"/>
      <c r="G87" s="131">
        <f t="shared" si="1"/>
        <v>4795</v>
      </c>
    </row>
    <row r="88" spans="1:7" x14ac:dyDescent="0.2">
      <c r="A88" s="129" t="s">
        <v>545</v>
      </c>
      <c r="B88" s="131">
        <f>2252.35</f>
        <v>2252.35</v>
      </c>
      <c r="C88" s="130"/>
      <c r="D88" s="130"/>
      <c r="E88" s="130"/>
      <c r="F88" s="130"/>
      <c r="G88" s="131">
        <f t="shared" si="1"/>
        <v>2252.35</v>
      </c>
    </row>
    <row r="89" spans="1:7" x14ac:dyDescent="0.2">
      <c r="A89" s="129" t="s">
        <v>718</v>
      </c>
      <c r="B89" s="131">
        <f>619.23</f>
        <v>619.23</v>
      </c>
      <c r="C89" s="130"/>
      <c r="D89" s="130"/>
      <c r="E89" s="130"/>
      <c r="F89" s="130"/>
      <c r="G89" s="131">
        <f t="shared" si="1"/>
        <v>619.23</v>
      </c>
    </row>
    <row r="90" spans="1:7" x14ac:dyDescent="0.2">
      <c r="A90" s="129" t="s">
        <v>1770</v>
      </c>
      <c r="B90" s="132">
        <f>(((((B84)+(B85))+(B86))+(B87))+(B88))+(B89)</f>
        <v>32843.61</v>
      </c>
      <c r="C90" s="132">
        <f>(((((C84)+(C85))+(C86))+(C87))+(C88))+(C89)</f>
        <v>0</v>
      </c>
      <c r="D90" s="132">
        <f>(((((D84)+(D85))+(D86))+(D87))+(D88))+(D89)</f>
        <v>0</v>
      </c>
      <c r="E90" s="132">
        <f>(((((E84)+(E85))+(E86))+(E87))+(E88))+(E89)</f>
        <v>0</v>
      </c>
      <c r="F90" s="132">
        <f>(((((F84)+(F85))+(F86))+(F87))+(F88))+(F89)</f>
        <v>0</v>
      </c>
      <c r="G90" s="132">
        <f t="shared" si="1"/>
        <v>32843.61</v>
      </c>
    </row>
    <row r="91" spans="1:7" x14ac:dyDescent="0.2">
      <c r="A91" s="129" t="s">
        <v>2481</v>
      </c>
      <c r="B91" s="130"/>
      <c r="C91" s="130"/>
      <c r="D91" s="130"/>
      <c r="E91" s="130"/>
      <c r="F91" s="130"/>
      <c r="G91" s="131">
        <f t="shared" si="1"/>
        <v>0</v>
      </c>
    </row>
    <row r="92" spans="1:7" x14ac:dyDescent="0.2">
      <c r="A92" s="129" t="s">
        <v>2482</v>
      </c>
      <c r="B92" s="131">
        <f>326.34</f>
        <v>326.33999999999997</v>
      </c>
      <c r="C92" s="130"/>
      <c r="D92" s="130"/>
      <c r="E92" s="130"/>
      <c r="F92" s="130"/>
      <c r="G92" s="131">
        <f t="shared" si="1"/>
        <v>326.33999999999997</v>
      </c>
    </row>
    <row r="93" spans="1:7" x14ac:dyDescent="0.2">
      <c r="A93" s="129" t="s">
        <v>2540</v>
      </c>
      <c r="B93" s="131">
        <f>3270.64</f>
        <v>3270.64</v>
      </c>
      <c r="C93" s="130"/>
      <c r="D93" s="130"/>
      <c r="E93" s="130"/>
      <c r="F93" s="130"/>
      <c r="G93" s="131">
        <f t="shared" si="1"/>
        <v>3270.64</v>
      </c>
    </row>
    <row r="94" spans="1:7" x14ac:dyDescent="0.2">
      <c r="A94" s="129" t="s">
        <v>2483</v>
      </c>
      <c r="B94" s="131">
        <f>14053.84</f>
        <v>14053.84</v>
      </c>
      <c r="C94" s="130"/>
      <c r="D94" s="130"/>
      <c r="E94" s="130"/>
      <c r="F94" s="130"/>
      <c r="G94" s="131">
        <f t="shared" si="1"/>
        <v>14053.84</v>
      </c>
    </row>
    <row r="95" spans="1:7" x14ac:dyDescent="0.2">
      <c r="A95" s="129" t="s">
        <v>2484</v>
      </c>
      <c r="B95" s="132">
        <f>(((B91)+(B92))+(B93))+(B94)</f>
        <v>17650.82</v>
      </c>
      <c r="C95" s="132">
        <f>(((C91)+(C92))+(C93))+(C94)</f>
        <v>0</v>
      </c>
      <c r="D95" s="132">
        <f>(((D91)+(D92))+(D93))+(D94)</f>
        <v>0</v>
      </c>
      <c r="E95" s="132">
        <f>(((E91)+(E92))+(E93))+(E94)</f>
        <v>0</v>
      </c>
      <c r="F95" s="132">
        <f>(((F91)+(F92))+(F93))+(F94)</f>
        <v>0</v>
      </c>
      <c r="G95" s="132">
        <f t="shared" si="1"/>
        <v>17650.82</v>
      </c>
    </row>
    <row r="96" spans="1:7" x14ac:dyDescent="0.2">
      <c r="A96" s="129" t="s">
        <v>1771</v>
      </c>
      <c r="B96" s="132">
        <f>((((B53)+(B71))+(B83))+(B90))+(B95)</f>
        <v>253736.53000000003</v>
      </c>
      <c r="C96" s="132">
        <f>((((C53)+(C71))+(C83))+(C90))+(C95)</f>
        <v>0</v>
      </c>
      <c r="D96" s="132">
        <f>((((D53)+(D71))+(D83))+(D90))+(D95)</f>
        <v>0</v>
      </c>
      <c r="E96" s="132">
        <f>((((E53)+(E71))+(E83))+(E90))+(E95)</f>
        <v>0</v>
      </c>
      <c r="F96" s="132">
        <f>((((F53)+(F71))+(F83))+(F90))+(F95)</f>
        <v>0</v>
      </c>
      <c r="G96" s="132">
        <f t="shared" si="1"/>
        <v>253736.53000000003</v>
      </c>
    </row>
    <row r="97" spans="1:7" x14ac:dyDescent="0.2">
      <c r="A97" s="129" t="s">
        <v>275</v>
      </c>
      <c r="B97" s="130"/>
      <c r="C97" s="130"/>
      <c r="D97" s="130"/>
      <c r="E97" s="130"/>
      <c r="F97" s="130"/>
      <c r="G97" s="131">
        <f t="shared" si="1"/>
        <v>0</v>
      </c>
    </row>
    <row r="98" spans="1:7" x14ac:dyDescent="0.2">
      <c r="A98" s="129" t="s">
        <v>2061</v>
      </c>
      <c r="B98" s="131">
        <f>1092.9</f>
        <v>1092.9000000000001</v>
      </c>
      <c r="C98" s="130"/>
      <c r="D98" s="130"/>
      <c r="E98" s="130"/>
      <c r="F98" s="131"/>
      <c r="G98" s="131">
        <f t="shared" si="1"/>
        <v>1092.9000000000001</v>
      </c>
    </row>
    <row r="99" spans="1:7" x14ac:dyDescent="0.2">
      <c r="A99" s="129" t="s">
        <v>564</v>
      </c>
      <c r="B99" s="131">
        <f>772.9</f>
        <v>772.9</v>
      </c>
      <c r="C99" s="130"/>
      <c r="D99" s="130"/>
      <c r="E99" s="130"/>
      <c r="F99" s="130"/>
      <c r="G99" s="131">
        <f t="shared" si="1"/>
        <v>772.9</v>
      </c>
    </row>
    <row r="100" spans="1:7" x14ac:dyDescent="0.2">
      <c r="A100" s="129" t="s">
        <v>277</v>
      </c>
      <c r="B100" s="131">
        <f>6682.36</f>
        <v>6682.36</v>
      </c>
      <c r="C100" s="130"/>
      <c r="D100" s="130"/>
      <c r="E100" s="130"/>
      <c r="F100" s="130"/>
      <c r="G100" s="131">
        <f t="shared" si="1"/>
        <v>6682.36</v>
      </c>
    </row>
    <row r="101" spans="1:7" x14ac:dyDescent="0.2">
      <c r="A101" s="129" t="s">
        <v>397</v>
      </c>
      <c r="B101" s="131">
        <f>69.85</f>
        <v>69.849999999999994</v>
      </c>
      <c r="C101" s="130"/>
      <c r="D101" s="130"/>
      <c r="E101" s="130"/>
      <c r="F101" s="130"/>
      <c r="G101" s="131">
        <f t="shared" si="1"/>
        <v>69.849999999999994</v>
      </c>
    </row>
    <row r="102" spans="1:7" x14ac:dyDescent="0.2">
      <c r="A102" s="129" t="s">
        <v>398</v>
      </c>
      <c r="B102" s="131">
        <f>2841.44</f>
        <v>2841.44</v>
      </c>
      <c r="C102" s="130"/>
      <c r="D102" s="130"/>
      <c r="E102" s="130"/>
      <c r="F102" s="130"/>
      <c r="G102" s="131">
        <f t="shared" si="1"/>
        <v>2841.44</v>
      </c>
    </row>
    <row r="103" spans="1:7" x14ac:dyDescent="0.2">
      <c r="A103" s="129" t="s">
        <v>518</v>
      </c>
      <c r="B103" s="130"/>
      <c r="C103" s="130"/>
      <c r="D103" s="130"/>
      <c r="E103" s="130"/>
      <c r="F103" s="130"/>
      <c r="G103" s="131">
        <f t="shared" si="1"/>
        <v>0</v>
      </c>
    </row>
    <row r="104" spans="1:7" x14ac:dyDescent="0.2">
      <c r="A104" s="129" t="s">
        <v>361</v>
      </c>
      <c r="B104" s="131">
        <f>521.2</f>
        <v>521.20000000000005</v>
      </c>
      <c r="C104" s="130"/>
      <c r="D104" s="130"/>
      <c r="E104" s="130"/>
      <c r="F104" s="130"/>
      <c r="G104" s="131">
        <f t="shared" si="1"/>
        <v>521.20000000000005</v>
      </c>
    </row>
    <row r="105" spans="1:7" x14ac:dyDescent="0.2">
      <c r="A105" s="129" t="s">
        <v>516</v>
      </c>
      <c r="B105" s="131">
        <f>813.65</f>
        <v>813.65</v>
      </c>
      <c r="C105" s="130"/>
      <c r="D105" s="130"/>
      <c r="E105" s="130"/>
      <c r="F105" s="130"/>
      <c r="G105" s="131">
        <f t="shared" si="1"/>
        <v>813.65</v>
      </c>
    </row>
    <row r="106" spans="1:7" x14ac:dyDescent="0.2">
      <c r="A106" s="129" t="s">
        <v>957</v>
      </c>
      <c r="B106" s="131">
        <f>126.48</f>
        <v>126.48</v>
      </c>
      <c r="C106" s="130"/>
      <c r="D106" s="130"/>
      <c r="E106" s="130"/>
      <c r="F106" s="130"/>
      <c r="G106" s="131">
        <f t="shared" si="1"/>
        <v>126.48</v>
      </c>
    </row>
    <row r="107" spans="1:7" x14ac:dyDescent="0.2">
      <c r="A107" s="129" t="s">
        <v>592</v>
      </c>
      <c r="B107" s="131">
        <f>1175.42</f>
        <v>1175.42</v>
      </c>
      <c r="C107" s="130"/>
      <c r="D107" s="130"/>
      <c r="E107" s="130"/>
      <c r="F107" s="130"/>
      <c r="G107" s="131">
        <f t="shared" si="1"/>
        <v>1175.42</v>
      </c>
    </row>
    <row r="108" spans="1:7" x14ac:dyDescent="0.2">
      <c r="A108" s="129" t="s">
        <v>519</v>
      </c>
      <c r="B108" s="132">
        <f>((((B103)+(B104))+(B105))+(B106))+(B107)</f>
        <v>2636.75</v>
      </c>
      <c r="C108" s="132">
        <f>((((C103)+(C104))+(C105))+(C106))+(C107)</f>
        <v>0</v>
      </c>
      <c r="D108" s="132">
        <f>((((D103)+(D104))+(D105))+(D106))+(D107)</f>
        <v>0</v>
      </c>
      <c r="E108" s="132">
        <f>((((E103)+(E104))+(E105))+(E106))+(E107)</f>
        <v>0</v>
      </c>
      <c r="F108" s="132">
        <f>((((F103)+(F104))+(F105))+(F106))+(F107)</f>
        <v>0</v>
      </c>
      <c r="G108" s="132">
        <f t="shared" si="1"/>
        <v>2636.75</v>
      </c>
    </row>
    <row r="109" spans="1:7" x14ac:dyDescent="0.2">
      <c r="A109" s="129" t="s">
        <v>278</v>
      </c>
      <c r="B109" s="130"/>
      <c r="C109" s="130"/>
      <c r="D109" s="130"/>
      <c r="E109" s="130"/>
      <c r="F109" s="130"/>
      <c r="G109" s="131">
        <f t="shared" si="1"/>
        <v>0</v>
      </c>
    </row>
    <row r="110" spans="1:7" x14ac:dyDescent="0.2">
      <c r="A110" s="129" t="s">
        <v>399</v>
      </c>
      <c r="B110" s="131">
        <f>293.25</f>
        <v>293.25</v>
      </c>
      <c r="C110" s="130"/>
      <c r="D110" s="130"/>
      <c r="E110" s="130"/>
      <c r="F110" s="130"/>
      <c r="G110" s="131">
        <f t="shared" si="1"/>
        <v>293.25</v>
      </c>
    </row>
    <row r="111" spans="1:7" x14ac:dyDescent="0.2">
      <c r="A111" s="129" t="s">
        <v>279</v>
      </c>
      <c r="B111" s="131">
        <f>105.09</f>
        <v>105.09</v>
      </c>
      <c r="C111" s="130"/>
      <c r="D111" s="130"/>
      <c r="E111" s="130"/>
      <c r="F111" s="130"/>
      <c r="G111" s="131">
        <f t="shared" si="1"/>
        <v>105.09</v>
      </c>
    </row>
    <row r="112" spans="1:7" x14ac:dyDescent="0.2">
      <c r="A112" s="129" t="s">
        <v>280</v>
      </c>
      <c r="B112" s="132">
        <f>((B109)+(B110))+(B111)</f>
        <v>398.34000000000003</v>
      </c>
      <c r="C112" s="132">
        <f>((C109)+(C110))+(C111)</f>
        <v>0</v>
      </c>
      <c r="D112" s="132">
        <f>((D109)+(D110))+(D111)</f>
        <v>0</v>
      </c>
      <c r="E112" s="132">
        <f>((E109)+(E110))+(E111)</f>
        <v>0</v>
      </c>
      <c r="F112" s="132">
        <f>((F109)+(F110))+(F111)</f>
        <v>0</v>
      </c>
      <c r="G112" s="132">
        <f t="shared" si="1"/>
        <v>398.34000000000003</v>
      </c>
    </row>
    <row r="113" spans="1:7" x14ac:dyDescent="0.2">
      <c r="A113" s="129" t="s">
        <v>281</v>
      </c>
      <c r="B113" s="131">
        <f>1697</f>
        <v>1697</v>
      </c>
      <c r="C113" s="130"/>
      <c r="D113" s="130"/>
      <c r="E113" s="130"/>
      <c r="F113" s="130"/>
      <c r="G113" s="131">
        <f t="shared" si="1"/>
        <v>1697</v>
      </c>
    </row>
    <row r="114" spans="1:7" x14ac:dyDescent="0.2">
      <c r="A114" s="129" t="s">
        <v>479</v>
      </c>
      <c r="B114" s="131">
        <f>807.8</f>
        <v>807.8</v>
      </c>
      <c r="C114" s="130"/>
      <c r="D114" s="130"/>
      <c r="E114" s="130"/>
      <c r="F114" s="130"/>
      <c r="G114" s="131">
        <f t="shared" si="1"/>
        <v>807.8</v>
      </c>
    </row>
    <row r="115" spans="1:7" x14ac:dyDescent="0.2">
      <c r="A115" s="129" t="s">
        <v>400</v>
      </c>
      <c r="B115" s="131">
        <f>1835.59</f>
        <v>1835.59</v>
      </c>
      <c r="C115" s="130"/>
      <c r="D115" s="130"/>
      <c r="E115" s="130"/>
      <c r="F115" s="130"/>
      <c r="G115" s="131">
        <f t="shared" si="1"/>
        <v>1835.59</v>
      </c>
    </row>
    <row r="116" spans="1:7" x14ac:dyDescent="0.2">
      <c r="A116" s="129" t="s">
        <v>401</v>
      </c>
      <c r="B116" s="131">
        <f>1344.2</f>
        <v>1344.2</v>
      </c>
      <c r="C116" s="130"/>
      <c r="D116" s="130"/>
      <c r="E116" s="130"/>
      <c r="F116" s="130"/>
      <c r="G116" s="131">
        <f t="shared" ref="G116:G179" si="2">((((B116)+(C116))+(D116))+(E116))+(F116)</f>
        <v>1344.2</v>
      </c>
    </row>
    <row r="117" spans="1:7" x14ac:dyDescent="0.2">
      <c r="A117" s="129" t="s">
        <v>282</v>
      </c>
      <c r="B117" s="131">
        <f>30</f>
        <v>30</v>
      </c>
      <c r="C117" s="130"/>
      <c r="D117" s="130"/>
      <c r="E117" s="130"/>
      <c r="F117" s="130"/>
      <c r="G117" s="131">
        <f t="shared" si="2"/>
        <v>30</v>
      </c>
    </row>
    <row r="118" spans="1:7" x14ac:dyDescent="0.2">
      <c r="A118" s="129" t="s">
        <v>402</v>
      </c>
      <c r="B118" s="131">
        <f>875</f>
        <v>875</v>
      </c>
      <c r="C118" s="130"/>
      <c r="D118" s="130"/>
      <c r="E118" s="130"/>
      <c r="F118" s="130"/>
      <c r="G118" s="131">
        <f t="shared" si="2"/>
        <v>875</v>
      </c>
    </row>
    <row r="119" spans="1:7" x14ac:dyDescent="0.2">
      <c r="A119" s="129" t="s">
        <v>283</v>
      </c>
      <c r="B119" s="131">
        <f>1937.83</f>
        <v>1937.83</v>
      </c>
      <c r="C119" s="130"/>
      <c r="D119" s="130"/>
      <c r="E119" s="130"/>
      <c r="F119" s="130"/>
      <c r="G119" s="131">
        <f t="shared" si="2"/>
        <v>1937.83</v>
      </c>
    </row>
    <row r="120" spans="1:7" x14ac:dyDescent="0.2">
      <c r="A120" s="129" t="s">
        <v>403</v>
      </c>
      <c r="B120" s="131">
        <f>38.88</f>
        <v>38.880000000000003</v>
      </c>
      <c r="C120" s="130"/>
      <c r="D120" s="130"/>
      <c r="E120" s="130"/>
      <c r="F120" s="130"/>
      <c r="G120" s="131">
        <f t="shared" si="2"/>
        <v>38.880000000000003</v>
      </c>
    </row>
    <row r="121" spans="1:7" x14ac:dyDescent="0.2">
      <c r="A121" s="129" t="s">
        <v>404</v>
      </c>
      <c r="B121" s="130"/>
      <c r="C121" s="130"/>
      <c r="D121" s="130"/>
      <c r="E121" s="130"/>
      <c r="F121" s="130"/>
      <c r="G121" s="131">
        <f t="shared" si="2"/>
        <v>0</v>
      </c>
    </row>
    <row r="122" spans="1:7" x14ac:dyDescent="0.2">
      <c r="A122" s="129" t="s">
        <v>405</v>
      </c>
      <c r="B122" s="131">
        <f>539.98</f>
        <v>539.98</v>
      </c>
      <c r="C122" s="130"/>
      <c r="D122" s="130"/>
      <c r="E122" s="130"/>
      <c r="F122" s="130"/>
      <c r="G122" s="131">
        <f t="shared" si="2"/>
        <v>539.98</v>
      </c>
    </row>
    <row r="123" spans="1:7" x14ac:dyDescent="0.2">
      <c r="A123" s="129" t="s">
        <v>406</v>
      </c>
      <c r="B123" s="131">
        <f>904.77</f>
        <v>904.77</v>
      </c>
      <c r="C123" s="130"/>
      <c r="D123" s="130"/>
      <c r="E123" s="130"/>
      <c r="F123" s="130"/>
      <c r="G123" s="131">
        <f t="shared" si="2"/>
        <v>904.77</v>
      </c>
    </row>
    <row r="124" spans="1:7" x14ac:dyDescent="0.2">
      <c r="A124" s="129" t="s">
        <v>407</v>
      </c>
      <c r="B124" s="132">
        <f>((B121)+(B122))+(B123)</f>
        <v>1444.75</v>
      </c>
      <c r="C124" s="132">
        <f>((C121)+(C122))+(C123)</f>
        <v>0</v>
      </c>
      <c r="D124" s="132">
        <f>((D121)+(D122))+(D123)</f>
        <v>0</v>
      </c>
      <c r="E124" s="132">
        <f>((E121)+(E122))+(E123)</f>
        <v>0</v>
      </c>
      <c r="F124" s="132">
        <f>((F121)+(F122))+(F123)</f>
        <v>0</v>
      </c>
      <c r="G124" s="132">
        <f t="shared" si="2"/>
        <v>1444.75</v>
      </c>
    </row>
    <row r="125" spans="1:7" x14ac:dyDescent="0.2">
      <c r="A125" s="129" t="s">
        <v>408</v>
      </c>
      <c r="B125" s="130"/>
      <c r="C125" s="130"/>
      <c r="D125" s="130"/>
      <c r="E125" s="130"/>
      <c r="F125" s="130"/>
      <c r="G125" s="131">
        <f t="shared" si="2"/>
        <v>0</v>
      </c>
    </row>
    <row r="126" spans="1:7" x14ac:dyDescent="0.2">
      <c r="A126" s="129" t="s">
        <v>409</v>
      </c>
      <c r="B126" s="131">
        <f>465.32</f>
        <v>465.32</v>
      </c>
      <c r="C126" s="130"/>
      <c r="D126" s="130"/>
      <c r="E126" s="130"/>
      <c r="F126" s="130"/>
      <c r="G126" s="131">
        <f t="shared" si="2"/>
        <v>465.32</v>
      </c>
    </row>
    <row r="127" spans="1:7" x14ac:dyDescent="0.2">
      <c r="A127" s="129" t="s">
        <v>411</v>
      </c>
      <c r="B127" s="132">
        <f>(B125)+(B126)</f>
        <v>465.32</v>
      </c>
      <c r="C127" s="132">
        <f>(C125)+(C126)</f>
        <v>0</v>
      </c>
      <c r="D127" s="132">
        <f>(D125)+(D126)</f>
        <v>0</v>
      </c>
      <c r="E127" s="132">
        <f>(E125)+(E126)</f>
        <v>0</v>
      </c>
      <c r="F127" s="132">
        <f>(F125)+(F126)</f>
        <v>0</v>
      </c>
      <c r="G127" s="132">
        <f t="shared" si="2"/>
        <v>465.32</v>
      </c>
    </row>
    <row r="128" spans="1:7" x14ac:dyDescent="0.2">
      <c r="A128" s="129" t="s">
        <v>412</v>
      </c>
      <c r="B128" s="130"/>
      <c r="C128" s="130"/>
      <c r="D128" s="130"/>
      <c r="E128" s="130"/>
      <c r="F128" s="130"/>
      <c r="G128" s="131">
        <f t="shared" si="2"/>
        <v>0</v>
      </c>
    </row>
    <row r="129" spans="1:7" x14ac:dyDescent="0.2">
      <c r="A129" s="129" t="s">
        <v>413</v>
      </c>
      <c r="B129" s="131">
        <f>444.05</f>
        <v>444.05</v>
      </c>
      <c r="C129" s="130"/>
      <c r="D129" s="130"/>
      <c r="E129" s="130"/>
      <c r="F129" s="130"/>
      <c r="G129" s="131">
        <f t="shared" si="2"/>
        <v>444.05</v>
      </c>
    </row>
    <row r="130" spans="1:7" x14ac:dyDescent="0.2">
      <c r="A130" s="129" t="s">
        <v>414</v>
      </c>
      <c r="B130" s="132">
        <f>(B128)+(B129)</f>
        <v>444.05</v>
      </c>
      <c r="C130" s="132">
        <f>(C128)+(C129)</f>
        <v>0</v>
      </c>
      <c r="D130" s="132">
        <f>(D128)+(D129)</f>
        <v>0</v>
      </c>
      <c r="E130" s="132">
        <f>(E128)+(E129)</f>
        <v>0</v>
      </c>
      <c r="F130" s="132">
        <f>(F128)+(F129)</f>
        <v>0</v>
      </c>
      <c r="G130" s="132">
        <f t="shared" si="2"/>
        <v>444.05</v>
      </c>
    </row>
    <row r="131" spans="1:7" x14ac:dyDescent="0.2">
      <c r="A131" s="129" t="s">
        <v>415</v>
      </c>
      <c r="B131" s="130"/>
      <c r="C131" s="130"/>
      <c r="D131" s="130"/>
      <c r="E131" s="130"/>
      <c r="F131" s="130"/>
      <c r="G131" s="131">
        <f t="shared" si="2"/>
        <v>0</v>
      </c>
    </row>
    <row r="132" spans="1:7" x14ac:dyDescent="0.2">
      <c r="A132" s="129" t="s">
        <v>416</v>
      </c>
      <c r="B132" s="131">
        <f>13307.65</f>
        <v>13307.65</v>
      </c>
      <c r="C132" s="130"/>
      <c r="D132" s="130"/>
      <c r="E132" s="130"/>
      <c r="F132" s="130"/>
      <c r="G132" s="131">
        <f t="shared" si="2"/>
        <v>13307.65</v>
      </c>
    </row>
    <row r="133" spans="1:7" x14ac:dyDescent="0.2">
      <c r="A133" s="129" t="s">
        <v>417</v>
      </c>
      <c r="B133" s="131">
        <f>1411.43</f>
        <v>1411.43</v>
      </c>
      <c r="C133" s="130"/>
      <c r="D133" s="130"/>
      <c r="E133" s="130"/>
      <c r="F133" s="130"/>
      <c r="G133" s="131">
        <f t="shared" si="2"/>
        <v>1411.43</v>
      </c>
    </row>
    <row r="134" spans="1:7" x14ac:dyDescent="0.2">
      <c r="A134" s="129" t="s">
        <v>418</v>
      </c>
      <c r="B134" s="131">
        <f>1385.26</f>
        <v>1385.26</v>
      </c>
      <c r="C134" s="130"/>
      <c r="D134" s="130"/>
      <c r="E134" s="130"/>
      <c r="F134" s="130"/>
      <c r="G134" s="131">
        <f t="shared" si="2"/>
        <v>1385.26</v>
      </c>
    </row>
    <row r="135" spans="1:7" x14ac:dyDescent="0.2">
      <c r="A135" s="129" t="s">
        <v>480</v>
      </c>
      <c r="B135" s="131">
        <f>7250</f>
        <v>7250</v>
      </c>
      <c r="C135" s="130"/>
      <c r="D135" s="130"/>
      <c r="E135" s="130"/>
      <c r="F135" s="130"/>
      <c r="G135" s="131">
        <f t="shared" si="2"/>
        <v>7250</v>
      </c>
    </row>
    <row r="136" spans="1:7" x14ac:dyDescent="0.2">
      <c r="A136" s="129" t="s">
        <v>419</v>
      </c>
      <c r="B136" s="132">
        <f>((((B131)+(B132))+(B133))+(B134))+(B135)</f>
        <v>23354.34</v>
      </c>
      <c r="C136" s="132">
        <f>((((C131)+(C132))+(C133))+(C134))+(C135)</f>
        <v>0</v>
      </c>
      <c r="D136" s="132">
        <f>((((D131)+(D132))+(D133))+(D134))+(D135)</f>
        <v>0</v>
      </c>
      <c r="E136" s="132">
        <f>((((E131)+(E132))+(E133))+(E134))+(E135)</f>
        <v>0</v>
      </c>
      <c r="F136" s="132">
        <f>((((F131)+(F132))+(F133))+(F134))+(F135)</f>
        <v>0</v>
      </c>
      <c r="G136" s="132">
        <f t="shared" si="2"/>
        <v>23354.34</v>
      </c>
    </row>
    <row r="137" spans="1:7" x14ac:dyDescent="0.2">
      <c r="A137" s="129" t="s">
        <v>284</v>
      </c>
      <c r="B137" s="131">
        <f>64.8</f>
        <v>64.8</v>
      </c>
      <c r="C137" s="130"/>
      <c r="D137" s="130"/>
      <c r="E137" s="130"/>
      <c r="F137" s="130"/>
      <c r="G137" s="131">
        <f t="shared" si="2"/>
        <v>64.8</v>
      </c>
    </row>
    <row r="138" spans="1:7" x14ac:dyDescent="0.2">
      <c r="A138" s="129" t="s">
        <v>285</v>
      </c>
      <c r="B138" s="132">
        <f>((((((((((((((((((((B97)+(B98))+(B99))+(B100))+(B101))+(B102))+(B108))+(B112))+(B113))+(B114))+(B115))+(B116))+(B117))+(B118))+(B119))+(B120))+(B124))+(B127))+(B130))+(B136))+(B137)</f>
        <v>48834.100000000006</v>
      </c>
      <c r="C138" s="132">
        <f>((((((((((((((((((((C97)+(C98))+(C99))+(C100))+(C101))+(C102))+(C108))+(C112))+(C113))+(C114))+(C115))+(C116))+(C117))+(C118))+(C119))+(C120))+(C124))+(C127))+(C130))+(C136))+(C137)</f>
        <v>0</v>
      </c>
      <c r="D138" s="132">
        <f>((((((((((((((((((((D97)+(D98))+(D99))+(D100))+(D101))+(D102))+(D108))+(D112))+(D113))+(D114))+(D115))+(D116))+(D117))+(D118))+(D119))+(D120))+(D124))+(D127))+(D130))+(D136))+(D137)</f>
        <v>0</v>
      </c>
      <c r="E138" s="132">
        <f>((((((((((((((((((((E97)+(E98))+(E99))+(E100))+(E101))+(E102))+(E108))+(E112))+(E113))+(E114))+(E115))+(E116))+(E117))+(E118))+(E119))+(E120))+(E124))+(E127))+(E130))+(E136))+(E137)</f>
        <v>0</v>
      </c>
      <c r="F138" s="132">
        <f>((((((((((((((((((((F97)+(F98))+(F99))+(F100))+(F101))+(F102))+(F108))+(F112))+(F113))+(F114))+(F115))+(F116))+(F117))+(F118))+(F119))+(F120))+(F124))+(F127))+(F130))+(F136))+(F137)</f>
        <v>0</v>
      </c>
      <c r="G138" s="132">
        <f t="shared" si="2"/>
        <v>48834.100000000006</v>
      </c>
    </row>
    <row r="139" spans="1:7" x14ac:dyDescent="0.2">
      <c r="A139" s="129" t="s">
        <v>286</v>
      </c>
      <c r="B139" s="130"/>
      <c r="C139" s="130"/>
      <c r="D139" s="130"/>
      <c r="E139" s="130"/>
      <c r="F139" s="130"/>
      <c r="G139" s="131">
        <f t="shared" si="2"/>
        <v>0</v>
      </c>
    </row>
    <row r="140" spans="1:7" x14ac:dyDescent="0.2">
      <c r="A140" s="129" t="s">
        <v>287</v>
      </c>
      <c r="B140" s="130"/>
      <c r="C140" s="130"/>
      <c r="D140" s="130"/>
      <c r="E140" s="130"/>
      <c r="F140" s="130"/>
      <c r="G140" s="131">
        <f t="shared" si="2"/>
        <v>0</v>
      </c>
    </row>
    <row r="141" spans="1:7" x14ac:dyDescent="0.2">
      <c r="A141" s="129" t="s">
        <v>420</v>
      </c>
      <c r="B141" s="131">
        <f>838.43</f>
        <v>838.43</v>
      </c>
      <c r="C141" s="130"/>
      <c r="D141" s="130"/>
      <c r="E141" s="130"/>
      <c r="F141" s="130"/>
      <c r="G141" s="131">
        <f t="shared" si="2"/>
        <v>838.43</v>
      </c>
    </row>
    <row r="142" spans="1:7" x14ac:dyDescent="0.2">
      <c r="A142" s="129" t="s">
        <v>288</v>
      </c>
      <c r="B142" s="131">
        <f>12058.07</f>
        <v>12058.07</v>
      </c>
      <c r="C142" s="130"/>
      <c r="D142" s="130"/>
      <c r="E142" s="130"/>
      <c r="F142" s="130"/>
      <c r="G142" s="131">
        <f t="shared" si="2"/>
        <v>12058.07</v>
      </c>
    </row>
    <row r="143" spans="1:7" x14ac:dyDescent="0.2">
      <c r="A143" s="129" t="s">
        <v>289</v>
      </c>
      <c r="B143" s="132">
        <f>((B140)+(B141))+(B142)</f>
        <v>12896.5</v>
      </c>
      <c r="C143" s="132">
        <f>((C140)+(C141))+(C142)</f>
        <v>0</v>
      </c>
      <c r="D143" s="132">
        <f>((D140)+(D141))+(D142)</f>
        <v>0</v>
      </c>
      <c r="E143" s="132">
        <f>((E140)+(E141))+(E142)</f>
        <v>0</v>
      </c>
      <c r="F143" s="132">
        <f>((F140)+(F141))+(F142)</f>
        <v>0</v>
      </c>
      <c r="G143" s="132">
        <f t="shared" si="2"/>
        <v>12896.5</v>
      </c>
    </row>
    <row r="144" spans="1:7" x14ac:dyDescent="0.2">
      <c r="A144" s="129" t="s">
        <v>290</v>
      </c>
      <c r="B144" s="130"/>
      <c r="C144" s="130"/>
      <c r="D144" s="130"/>
      <c r="E144" s="130"/>
      <c r="F144" s="130"/>
      <c r="G144" s="131">
        <f t="shared" si="2"/>
        <v>0</v>
      </c>
    </row>
    <row r="145" spans="1:7" x14ac:dyDescent="0.2">
      <c r="A145" s="129" t="s">
        <v>291</v>
      </c>
      <c r="B145" s="131">
        <f>2506.2</f>
        <v>2506.1999999999998</v>
      </c>
      <c r="C145" s="130"/>
      <c r="D145" s="130"/>
      <c r="E145" s="130"/>
      <c r="F145" s="131">
        <f>0</f>
        <v>0</v>
      </c>
      <c r="G145" s="131">
        <f t="shared" si="2"/>
        <v>2506.1999999999998</v>
      </c>
    </row>
    <row r="146" spans="1:7" x14ac:dyDescent="0.2">
      <c r="A146" s="129" t="s">
        <v>421</v>
      </c>
      <c r="B146" s="131">
        <f>5377.34</f>
        <v>5377.34</v>
      </c>
      <c r="C146" s="130"/>
      <c r="D146" s="130"/>
      <c r="E146" s="130"/>
      <c r="F146" s="130"/>
      <c r="G146" s="131">
        <f t="shared" si="2"/>
        <v>5377.34</v>
      </c>
    </row>
    <row r="147" spans="1:7" x14ac:dyDescent="0.2">
      <c r="A147" s="129" t="s">
        <v>422</v>
      </c>
      <c r="B147" s="131">
        <f>2673.76</f>
        <v>2673.76</v>
      </c>
      <c r="C147" s="130"/>
      <c r="D147" s="130"/>
      <c r="E147" s="130"/>
      <c r="F147" s="130"/>
      <c r="G147" s="131">
        <f t="shared" si="2"/>
        <v>2673.76</v>
      </c>
    </row>
    <row r="148" spans="1:7" x14ac:dyDescent="0.2">
      <c r="A148" s="129" t="s">
        <v>292</v>
      </c>
      <c r="B148" s="132">
        <f>(((B144)+(B145))+(B146))+(B147)</f>
        <v>10557.3</v>
      </c>
      <c r="C148" s="132">
        <f>(((C144)+(C145))+(C146))+(C147)</f>
        <v>0</v>
      </c>
      <c r="D148" s="132">
        <f>(((D144)+(D145))+(D146))+(D147)</f>
        <v>0</v>
      </c>
      <c r="E148" s="132">
        <f>(((E144)+(E145))+(E146))+(E147)</f>
        <v>0</v>
      </c>
      <c r="F148" s="132">
        <f>(((F144)+(F145))+(F146))+(F147)</f>
        <v>0</v>
      </c>
      <c r="G148" s="132">
        <f t="shared" si="2"/>
        <v>10557.3</v>
      </c>
    </row>
    <row r="149" spans="1:7" x14ac:dyDescent="0.2">
      <c r="A149" s="129" t="s">
        <v>1772</v>
      </c>
      <c r="B149" s="131">
        <f>3274.6</f>
        <v>3274.6</v>
      </c>
      <c r="C149" s="130"/>
      <c r="D149" s="130"/>
      <c r="E149" s="130"/>
      <c r="F149" s="130"/>
      <c r="G149" s="131">
        <f t="shared" si="2"/>
        <v>3274.6</v>
      </c>
    </row>
    <row r="150" spans="1:7" x14ac:dyDescent="0.2">
      <c r="A150" s="129" t="s">
        <v>423</v>
      </c>
      <c r="B150" s="130"/>
      <c r="C150" s="130"/>
      <c r="D150" s="130"/>
      <c r="E150" s="130"/>
      <c r="F150" s="130"/>
      <c r="G150" s="131">
        <f t="shared" si="2"/>
        <v>0</v>
      </c>
    </row>
    <row r="151" spans="1:7" x14ac:dyDescent="0.2">
      <c r="A151" s="129" t="s">
        <v>424</v>
      </c>
      <c r="B151" s="131">
        <f>1353.01</f>
        <v>1353.01</v>
      </c>
      <c r="C151" s="130"/>
      <c r="D151" s="130"/>
      <c r="E151" s="130"/>
      <c r="F151" s="130"/>
      <c r="G151" s="131">
        <f t="shared" si="2"/>
        <v>1353.01</v>
      </c>
    </row>
    <row r="152" spans="1:7" x14ac:dyDescent="0.2">
      <c r="A152" s="129" t="s">
        <v>425</v>
      </c>
      <c r="B152" s="131">
        <f>711.52</f>
        <v>711.52</v>
      </c>
      <c r="C152" s="130"/>
      <c r="D152" s="130"/>
      <c r="E152" s="130"/>
      <c r="F152" s="130"/>
      <c r="G152" s="131">
        <f t="shared" si="2"/>
        <v>711.52</v>
      </c>
    </row>
    <row r="153" spans="1:7" x14ac:dyDescent="0.2">
      <c r="A153" s="129" t="s">
        <v>428</v>
      </c>
      <c r="B153" s="131">
        <f>1426.76</f>
        <v>1426.76</v>
      </c>
      <c r="C153" s="130"/>
      <c r="D153" s="130"/>
      <c r="E153" s="130"/>
      <c r="F153" s="130"/>
      <c r="G153" s="131">
        <f t="shared" si="2"/>
        <v>1426.76</v>
      </c>
    </row>
    <row r="154" spans="1:7" x14ac:dyDescent="0.2">
      <c r="A154" s="129" t="s">
        <v>481</v>
      </c>
      <c r="B154" s="131">
        <f>225</f>
        <v>225</v>
      </c>
      <c r="C154" s="130"/>
      <c r="D154" s="130"/>
      <c r="E154" s="130"/>
      <c r="F154" s="130"/>
      <c r="G154" s="131">
        <f t="shared" si="2"/>
        <v>225</v>
      </c>
    </row>
    <row r="155" spans="1:7" x14ac:dyDescent="0.2">
      <c r="A155" s="129" t="s">
        <v>430</v>
      </c>
      <c r="B155" s="132">
        <f>((((B150)+(B151))+(B152))+(B153))+(B154)</f>
        <v>3716.29</v>
      </c>
      <c r="C155" s="132">
        <f>((((C150)+(C151))+(C152))+(C153))+(C154)</f>
        <v>0</v>
      </c>
      <c r="D155" s="132">
        <f>((((D150)+(D151))+(D152))+(D153))+(D154)</f>
        <v>0</v>
      </c>
      <c r="E155" s="132">
        <f>((((E150)+(E151))+(E152))+(E153))+(E154)</f>
        <v>0</v>
      </c>
      <c r="F155" s="132">
        <f>((((F150)+(F151))+(F152))+(F153))+(F154)</f>
        <v>0</v>
      </c>
      <c r="G155" s="132">
        <f t="shared" si="2"/>
        <v>3716.29</v>
      </c>
    </row>
    <row r="156" spans="1:7" x14ac:dyDescent="0.2">
      <c r="A156" s="129" t="s">
        <v>431</v>
      </c>
      <c r="B156" s="130"/>
      <c r="C156" s="130"/>
      <c r="D156" s="130"/>
      <c r="E156" s="130"/>
      <c r="F156" s="130"/>
      <c r="G156" s="131">
        <f t="shared" si="2"/>
        <v>0</v>
      </c>
    </row>
    <row r="157" spans="1:7" x14ac:dyDescent="0.2">
      <c r="A157" s="129" t="s">
        <v>432</v>
      </c>
      <c r="B157" s="131">
        <f>1360.03</f>
        <v>1360.03</v>
      </c>
      <c r="C157" s="130"/>
      <c r="D157" s="130"/>
      <c r="E157" s="130"/>
      <c r="F157" s="130"/>
      <c r="G157" s="131">
        <f t="shared" si="2"/>
        <v>1360.03</v>
      </c>
    </row>
    <row r="158" spans="1:7" x14ac:dyDescent="0.2">
      <c r="A158" s="129" t="s">
        <v>434</v>
      </c>
      <c r="B158" s="131">
        <f>3083.51</f>
        <v>3083.51</v>
      </c>
      <c r="C158" s="130"/>
      <c r="D158" s="130"/>
      <c r="E158" s="130"/>
      <c r="F158" s="130"/>
      <c r="G158" s="131">
        <f t="shared" si="2"/>
        <v>3083.51</v>
      </c>
    </row>
    <row r="159" spans="1:7" x14ac:dyDescent="0.2">
      <c r="A159" s="129" t="s">
        <v>435</v>
      </c>
      <c r="B159" s="131">
        <f>1468.51</f>
        <v>1468.51</v>
      </c>
      <c r="C159" s="130"/>
      <c r="D159" s="130"/>
      <c r="E159" s="130"/>
      <c r="F159" s="130"/>
      <c r="G159" s="131">
        <f t="shared" si="2"/>
        <v>1468.51</v>
      </c>
    </row>
    <row r="160" spans="1:7" x14ac:dyDescent="0.2">
      <c r="A160" s="129" t="s">
        <v>436</v>
      </c>
      <c r="B160" s="131">
        <f>550</f>
        <v>550</v>
      </c>
      <c r="C160" s="130"/>
      <c r="D160" s="130"/>
      <c r="E160" s="130"/>
      <c r="F160" s="130"/>
      <c r="G160" s="131">
        <f t="shared" si="2"/>
        <v>550</v>
      </c>
    </row>
    <row r="161" spans="1:7" x14ac:dyDescent="0.2">
      <c r="A161" s="129" t="s">
        <v>437</v>
      </c>
      <c r="B161" s="131">
        <f>7699.7</f>
        <v>7699.7</v>
      </c>
      <c r="C161" s="130"/>
      <c r="D161" s="130"/>
      <c r="E161" s="130"/>
      <c r="F161" s="130"/>
      <c r="G161" s="131">
        <f t="shared" si="2"/>
        <v>7699.7</v>
      </c>
    </row>
    <row r="162" spans="1:7" x14ac:dyDescent="0.2">
      <c r="A162" s="129" t="s">
        <v>438</v>
      </c>
      <c r="B162" s="131">
        <f>5573.82</f>
        <v>5573.82</v>
      </c>
      <c r="C162" s="130"/>
      <c r="D162" s="130"/>
      <c r="E162" s="130"/>
      <c r="F162" s="130"/>
      <c r="G162" s="131">
        <f t="shared" si="2"/>
        <v>5573.82</v>
      </c>
    </row>
    <row r="163" spans="1:7" x14ac:dyDescent="0.2">
      <c r="A163" s="129" t="s">
        <v>439</v>
      </c>
      <c r="B163" s="131">
        <f>1763.74</f>
        <v>1763.74</v>
      </c>
      <c r="C163" s="130"/>
      <c r="D163" s="130"/>
      <c r="E163" s="130"/>
      <c r="F163" s="130"/>
      <c r="G163" s="131">
        <f t="shared" si="2"/>
        <v>1763.74</v>
      </c>
    </row>
    <row r="164" spans="1:7" x14ac:dyDescent="0.2">
      <c r="A164" s="129" t="s">
        <v>440</v>
      </c>
      <c r="B164" s="132">
        <f>(((((((B156)+(B157))+(B158))+(B159))+(B160))+(B161))+(B162))+(B163)</f>
        <v>21499.31</v>
      </c>
      <c r="C164" s="132">
        <f>(((((((C156)+(C157))+(C158))+(C159))+(C160))+(C161))+(C162))+(C163)</f>
        <v>0</v>
      </c>
      <c r="D164" s="132">
        <f>(((((((D156)+(D157))+(D158))+(D159))+(D160))+(D161))+(D162))+(D163)</f>
        <v>0</v>
      </c>
      <c r="E164" s="132">
        <f>(((((((E156)+(E157))+(E158))+(E159))+(E160))+(E161))+(E162))+(E163)</f>
        <v>0</v>
      </c>
      <c r="F164" s="132">
        <f>(((((((F156)+(F157))+(F158))+(F159))+(F160))+(F161))+(F162))+(F163)</f>
        <v>0</v>
      </c>
      <c r="G164" s="132">
        <f t="shared" si="2"/>
        <v>21499.31</v>
      </c>
    </row>
    <row r="165" spans="1:7" x14ac:dyDescent="0.2">
      <c r="A165" s="129" t="s">
        <v>293</v>
      </c>
      <c r="B165" s="132">
        <f>(((((B139)+(B143))+(B148))+(B149))+(B155))+(B164)</f>
        <v>51944</v>
      </c>
      <c r="C165" s="132">
        <f>(((((C139)+(C143))+(C148))+(C149))+(C155))+(C164)</f>
        <v>0</v>
      </c>
      <c r="D165" s="132">
        <f>(((((D139)+(D143))+(D148))+(D149))+(D155))+(D164)</f>
        <v>0</v>
      </c>
      <c r="E165" s="132">
        <f>(((((E139)+(E143))+(E148))+(E149))+(E155))+(E164)</f>
        <v>0</v>
      </c>
      <c r="F165" s="132">
        <f>(((((F139)+(F143))+(F148))+(F149))+(F155))+(F164)</f>
        <v>0</v>
      </c>
      <c r="G165" s="132">
        <f t="shared" si="2"/>
        <v>51944</v>
      </c>
    </row>
    <row r="166" spans="1:7" x14ac:dyDescent="0.2">
      <c r="A166" s="129" t="s">
        <v>294</v>
      </c>
      <c r="B166" s="132">
        <f>(((B52)+(B96))+(B138))+(B165)</f>
        <v>354514.63</v>
      </c>
      <c r="C166" s="132">
        <f>(((C52)+(C96))+(C138))+(C165)</f>
        <v>0</v>
      </c>
      <c r="D166" s="132">
        <f>(((D52)+(D96))+(D138))+(D165)</f>
        <v>0</v>
      </c>
      <c r="E166" s="132">
        <f>(((E52)+(E96))+(E138))+(E165)</f>
        <v>0</v>
      </c>
      <c r="F166" s="132">
        <f>(((F52)+(F96))+(F138))+(F165)</f>
        <v>0</v>
      </c>
      <c r="G166" s="132">
        <f t="shared" si="2"/>
        <v>354514.63</v>
      </c>
    </row>
    <row r="167" spans="1:7" x14ac:dyDescent="0.2">
      <c r="A167" s="129" t="s">
        <v>295</v>
      </c>
      <c r="B167" s="130"/>
      <c r="C167" s="130"/>
      <c r="D167" s="130"/>
      <c r="E167" s="130"/>
      <c r="F167" s="130"/>
      <c r="G167" s="131">
        <f t="shared" si="2"/>
        <v>0</v>
      </c>
    </row>
    <row r="168" spans="1:7" x14ac:dyDescent="0.2">
      <c r="A168" s="129" t="s">
        <v>296</v>
      </c>
      <c r="B168" s="130"/>
      <c r="C168" s="130"/>
      <c r="D168" s="130"/>
      <c r="E168" s="130"/>
      <c r="F168" s="130"/>
      <c r="G168" s="131">
        <f t="shared" si="2"/>
        <v>0</v>
      </c>
    </row>
    <row r="169" spans="1:7" x14ac:dyDescent="0.2">
      <c r="A169" s="129" t="s">
        <v>297</v>
      </c>
      <c r="B169" s="130"/>
      <c r="C169" s="130"/>
      <c r="D169" s="130"/>
      <c r="E169" s="130"/>
      <c r="F169" s="130"/>
      <c r="G169" s="131">
        <f t="shared" si="2"/>
        <v>0</v>
      </c>
    </row>
    <row r="170" spans="1:7" x14ac:dyDescent="0.2">
      <c r="A170" s="129" t="s">
        <v>505</v>
      </c>
      <c r="B170" s="130"/>
      <c r="C170" s="130"/>
      <c r="D170" s="130"/>
      <c r="E170" s="130"/>
      <c r="F170" s="130"/>
      <c r="G170" s="131">
        <f t="shared" si="2"/>
        <v>0</v>
      </c>
    </row>
    <row r="171" spans="1:7" x14ac:dyDescent="0.2">
      <c r="A171" s="129" t="s">
        <v>517</v>
      </c>
      <c r="B171" s="130"/>
      <c r="C171" s="130"/>
      <c r="D171" s="130"/>
      <c r="E171" s="131">
        <f>34499.92</f>
        <v>34499.919999999998</v>
      </c>
      <c r="F171" s="130"/>
      <c r="G171" s="131">
        <f t="shared" si="2"/>
        <v>34499.919999999998</v>
      </c>
    </row>
    <row r="172" spans="1:7" x14ac:dyDescent="0.2">
      <c r="A172" s="129" t="s">
        <v>698</v>
      </c>
      <c r="B172" s="130"/>
      <c r="C172" s="130"/>
      <c r="D172" s="130"/>
      <c r="E172" s="131">
        <f>17500.08</f>
        <v>17500.080000000002</v>
      </c>
      <c r="F172" s="130"/>
      <c r="G172" s="131">
        <f t="shared" si="2"/>
        <v>17500.080000000002</v>
      </c>
    </row>
    <row r="173" spans="1:7" x14ac:dyDescent="0.2">
      <c r="A173" s="129" t="s">
        <v>513</v>
      </c>
      <c r="B173" s="130"/>
      <c r="C173" s="130"/>
      <c r="D173" s="130"/>
      <c r="E173" s="131">
        <f>3978</f>
        <v>3978</v>
      </c>
      <c r="F173" s="130"/>
      <c r="G173" s="131">
        <f t="shared" si="2"/>
        <v>3978</v>
      </c>
    </row>
    <row r="174" spans="1:7" x14ac:dyDescent="0.2">
      <c r="A174" s="129" t="s">
        <v>958</v>
      </c>
      <c r="B174" s="130"/>
      <c r="C174" s="130"/>
      <c r="D174" s="130"/>
      <c r="E174" s="131">
        <f>32231.66</f>
        <v>32231.66</v>
      </c>
      <c r="F174" s="130"/>
      <c r="G174" s="131">
        <f t="shared" si="2"/>
        <v>32231.66</v>
      </c>
    </row>
    <row r="175" spans="1:7" x14ac:dyDescent="0.2">
      <c r="A175" s="129" t="s">
        <v>507</v>
      </c>
      <c r="B175" s="130"/>
      <c r="C175" s="130"/>
      <c r="D175" s="130"/>
      <c r="E175" s="131">
        <f>2922.94</f>
        <v>2922.94</v>
      </c>
      <c r="F175" s="130"/>
      <c r="G175" s="131">
        <f t="shared" si="2"/>
        <v>2922.94</v>
      </c>
    </row>
    <row r="176" spans="1:7" x14ac:dyDescent="0.2">
      <c r="A176" s="129" t="s">
        <v>1132</v>
      </c>
      <c r="B176" s="130"/>
      <c r="C176" s="130"/>
      <c r="D176" s="130"/>
      <c r="E176" s="131">
        <f>2334.22</f>
        <v>2334.2199999999998</v>
      </c>
      <c r="F176" s="130"/>
      <c r="G176" s="131">
        <f t="shared" si="2"/>
        <v>2334.2199999999998</v>
      </c>
    </row>
    <row r="177" spans="1:7" x14ac:dyDescent="0.2">
      <c r="A177" s="129" t="s">
        <v>1133</v>
      </c>
      <c r="B177" s="130"/>
      <c r="C177" s="130"/>
      <c r="D177" s="130"/>
      <c r="E177" s="131">
        <f>1119.39</f>
        <v>1119.3900000000001</v>
      </c>
      <c r="F177" s="130"/>
      <c r="G177" s="131">
        <f t="shared" si="2"/>
        <v>1119.3900000000001</v>
      </c>
    </row>
    <row r="178" spans="1:7" x14ac:dyDescent="0.2">
      <c r="A178" s="129" t="s">
        <v>959</v>
      </c>
      <c r="B178" s="130"/>
      <c r="C178" s="130"/>
      <c r="D178" s="130"/>
      <c r="E178" s="131">
        <f>992.58</f>
        <v>992.58</v>
      </c>
      <c r="F178" s="130"/>
      <c r="G178" s="131">
        <f t="shared" si="2"/>
        <v>992.58</v>
      </c>
    </row>
    <row r="179" spans="1:7" x14ac:dyDescent="0.2">
      <c r="A179" s="129" t="s">
        <v>506</v>
      </c>
      <c r="B179" s="132">
        <f>((((((((B170)+(B171))+(B172))+(B173))+(B174))+(B175))+(B176))+(B177))+(B178)</f>
        <v>0</v>
      </c>
      <c r="C179" s="132">
        <f>((((((((C170)+(C171))+(C172))+(C173))+(C174))+(C175))+(C176))+(C177))+(C178)</f>
        <v>0</v>
      </c>
      <c r="D179" s="132">
        <f>((((((((D170)+(D171))+(D172))+(D173))+(D174))+(D175))+(D176))+(D177))+(D178)</f>
        <v>0</v>
      </c>
      <c r="E179" s="132">
        <f>((((((((E170)+(E171))+(E172))+(E173))+(E174))+(E175))+(E176))+(E177))+(E178)</f>
        <v>95578.790000000008</v>
      </c>
      <c r="F179" s="132">
        <f>((((((((F170)+(F171))+(F172))+(F173))+(F174))+(F175))+(F176))+(F177))+(F178)</f>
        <v>0</v>
      </c>
      <c r="G179" s="132">
        <f t="shared" si="2"/>
        <v>95578.790000000008</v>
      </c>
    </row>
    <row r="180" spans="1:7" x14ac:dyDescent="0.2">
      <c r="A180" s="129" t="s">
        <v>298</v>
      </c>
      <c r="B180" s="132">
        <f>(B169)+(B179)</f>
        <v>0</v>
      </c>
      <c r="C180" s="132">
        <f>(C169)+(C179)</f>
        <v>0</v>
      </c>
      <c r="D180" s="132">
        <f>(D169)+(D179)</f>
        <v>0</v>
      </c>
      <c r="E180" s="132">
        <f>(E169)+(E179)</f>
        <v>95578.790000000008</v>
      </c>
      <c r="F180" s="132">
        <f>(F169)+(F179)</f>
        <v>0</v>
      </c>
      <c r="G180" s="132">
        <f t="shared" ref="G180:G243" si="3">((((B180)+(C180))+(D180))+(E180))+(F180)</f>
        <v>95578.790000000008</v>
      </c>
    </row>
    <row r="181" spans="1:7" x14ac:dyDescent="0.2">
      <c r="A181" s="129" t="s">
        <v>299</v>
      </c>
      <c r="B181" s="130"/>
      <c r="C181" s="130"/>
      <c r="D181" s="130"/>
      <c r="E181" s="130"/>
      <c r="F181" s="130"/>
      <c r="G181" s="131">
        <f t="shared" si="3"/>
        <v>0</v>
      </c>
    </row>
    <row r="182" spans="1:7" x14ac:dyDescent="0.2">
      <c r="A182" s="129" t="s">
        <v>300</v>
      </c>
      <c r="B182" s="130"/>
      <c r="C182" s="130"/>
      <c r="D182" s="130"/>
      <c r="E182" s="131">
        <f>15083.72</f>
        <v>15083.72</v>
      </c>
      <c r="F182" s="130"/>
      <c r="G182" s="131">
        <f t="shared" si="3"/>
        <v>15083.72</v>
      </c>
    </row>
    <row r="183" spans="1:7" x14ac:dyDescent="0.2">
      <c r="A183" s="129" t="s">
        <v>1444</v>
      </c>
      <c r="B183" s="130"/>
      <c r="C183" s="130"/>
      <c r="D183" s="130"/>
      <c r="E183" s="131">
        <f>520.02</f>
        <v>520.02</v>
      </c>
      <c r="F183" s="130"/>
      <c r="G183" s="131">
        <f t="shared" si="3"/>
        <v>520.02</v>
      </c>
    </row>
    <row r="184" spans="1:7" x14ac:dyDescent="0.2">
      <c r="A184" s="129" t="s">
        <v>563</v>
      </c>
      <c r="B184" s="130"/>
      <c r="C184" s="130"/>
      <c r="D184" s="130"/>
      <c r="E184" s="131">
        <f>2497.94</f>
        <v>2497.94</v>
      </c>
      <c r="F184" s="130"/>
      <c r="G184" s="131">
        <f t="shared" si="3"/>
        <v>2497.94</v>
      </c>
    </row>
    <row r="185" spans="1:7" x14ac:dyDescent="0.2">
      <c r="A185" s="129" t="s">
        <v>441</v>
      </c>
      <c r="B185" s="130"/>
      <c r="C185" s="130"/>
      <c r="D185" s="130"/>
      <c r="E185" s="131">
        <f>1545.73</f>
        <v>1545.73</v>
      </c>
      <c r="F185" s="130"/>
      <c r="G185" s="131">
        <f t="shared" si="3"/>
        <v>1545.73</v>
      </c>
    </row>
    <row r="186" spans="1:7" x14ac:dyDescent="0.2">
      <c r="A186" s="129" t="s">
        <v>301</v>
      </c>
      <c r="B186" s="132">
        <f>((((B181)+(B182))+(B183))+(B184))+(B185)</f>
        <v>0</v>
      </c>
      <c r="C186" s="132">
        <f>((((C181)+(C182))+(C183))+(C184))+(C185)</f>
        <v>0</v>
      </c>
      <c r="D186" s="132">
        <f>((((D181)+(D182))+(D183))+(D184))+(D185)</f>
        <v>0</v>
      </c>
      <c r="E186" s="132">
        <f>((((E181)+(E182))+(E183))+(E184))+(E185)</f>
        <v>19647.41</v>
      </c>
      <c r="F186" s="132">
        <f>((((F181)+(F182))+(F183))+(F184))+(F185)</f>
        <v>0</v>
      </c>
      <c r="G186" s="132">
        <f t="shared" si="3"/>
        <v>19647.41</v>
      </c>
    </row>
    <row r="187" spans="1:7" x14ac:dyDescent="0.2">
      <c r="A187" s="129" t="s">
        <v>594</v>
      </c>
      <c r="B187" s="130"/>
      <c r="C187" s="130"/>
      <c r="D187" s="130"/>
      <c r="E187" s="130"/>
      <c r="F187" s="130"/>
      <c r="G187" s="131">
        <f t="shared" si="3"/>
        <v>0</v>
      </c>
    </row>
    <row r="188" spans="1:7" x14ac:dyDescent="0.2">
      <c r="A188" s="129" t="s">
        <v>600</v>
      </c>
      <c r="B188" s="130"/>
      <c r="C188" s="130"/>
      <c r="D188" s="130"/>
      <c r="E188" s="131">
        <f>11527.04</f>
        <v>11527.04</v>
      </c>
      <c r="F188" s="130"/>
      <c r="G188" s="131">
        <f t="shared" si="3"/>
        <v>11527.04</v>
      </c>
    </row>
    <row r="189" spans="1:7" x14ac:dyDescent="0.2">
      <c r="A189" s="129" t="s">
        <v>639</v>
      </c>
      <c r="B189" s="130"/>
      <c r="C189" s="130"/>
      <c r="D189" s="130"/>
      <c r="E189" s="131">
        <f>8072.78</f>
        <v>8072.78</v>
      </c>
      <c r="F189" s="130"/>
      <c r="G189" s="131">
        <f t="shared" si="3"/>
        <v>8072.78</v>
      </c>
    </row>
    <row r="190" spans="1:7" x14ac:dyDescent="0.2">
      <c r="A190" s="129" t="s">
        <v>1265</v>
      </c>
      <c r="B190" s="130"/>
      <c r="C190" s="130"/>
      <c r="D190" s="130"/>
      <c r="E190" s="131">
        <f>483.96</f>
        <v>483.96</v>
      </c>
      <c r="F190" s="130"/>
      <c r="G190" s="131">
        <f t="shared" si="3"/>
        <v>483.96</v>
      </c>
    </row>
    <row r="191" spans="1:7" x14ac:dyDescent="0.2">
      <c r="A191" s="129" t="s">
        <v>694</v>
      </c>
      <c r="B191" s="130"/>
      <c r="C191" s="130"/>
      <c r="D191" s="130"/>
      <c r="E191" s="131">
        <f>1435.04</f>
        <v>1435.04</v>
      </c>
      <c r="F191" s="130"/>
      <c r="G191" s="131">
        <f t="shared" si="3"/>
        <v>1435.04</v>
      </c>
    </row>
    <row r="192" spans="1:7" x14ac:dyDescent="0.2">
      <c r="A192" s="129" t="s">
        <v>757</v>
      </c>
      <c r="B192" s="130"/>
      <c r="C192" s="130"/>
      <c r="D192" s="130"/>
      <c r="E192" s="131">
        <f>932.8</f>
        <v>932.8</v>
      </c>
      <c r="F192" s="130"/>
      <c r="G192" s="131">
        <f t="shared" si="3"/>
        <v>932.8</v>
      </c>
    </row>
    <row r="193" spans="1:7" x14ac:dyDescent="0.2">
      <c r="A193" s="129" t="s">
        <v>455</v>
      </c>
      <c r="B193" s="130"/>
      <c r="C193" s="130"/>
      <c r="D193" s="130"/>
      <c r="E193" s="131">
        <f>165.5</f>
        <v>165.5</v>
      </c>
      <c r="F193" s="130"/>
      <c r="G193" s="131">
        <f t="shared" si="3"/>
        <v>165.5</v>
      </c>
    </row>
    <row r="194" spans="1:7" x14ac:dyDescent="0.2">
      <c r="A194" s="129" t="s">
        <v>601</v>
      </c>
      <c r="B194" s="132">
        <f>((((((B187)+(B188))+(B189))+(B190))+(B191))+(B192))+(B193)</f>
        <v>0</v>
      </c>
      <c r="C194" s="132">
        <f>((((((C187)+(C188))+(C189))+(C190))+(C191))+(C192))+(C193)</f>
        <v>0</v>
      </c>
      <c r="D194" s="132">
        <f>((((((D187)+(D188))+(D189))+(D190))+(D191))+(D192))+(D193)</f>
        <v>0</v>
      </c>
      <c r="E194" s="132">
        <f>((((((E187)+(E188))+(E189))+(E190))+(E191))+(E192))+(E193)</f>
        <v>22617.119999999999</v>
      </c>
      <c r="F194" s="132">
        <f>((((((F187)+(F188))+(F189))+(F190))+(F191))+(F192))+(F193)</f>
        <v>0</v>
      </c>
      <c r="G194" s="132">
        <f t="shared" si="3"/>
        <v>22617.119999999999</v>
      </c>
    </row>
    <row r="195" spans="1:7" x14ac:dyDescent="0.2">
      <c r="A195" s="129" t="s">
        <v>303</v>
      </c>
      <c r="B195" s="130"/>
      <c r="C195" s="130"/>
      <c r="D195" s="130"/>
      <c r="E195" s="130"/>
      <c r="F195" s="130"/>
      <c r="G195" s="131">
        <f t="shared" si="3"/>
        <v>0</v>
      </c>
    </row>
    <row r="196" spans="1:7" x14ac:dyDescent="0.2">
      <c r="A196" s="129" t="s">
        <v>304</v>
      </c>
      <c r="B196" s="130"/>
      <c r="C196" s="130"/>
      <c r="D196" s="130"/>
      <c r="E196" s="131">
        <f>800.6</f>
        <v>800.6</v>
      </c>
      <c r="F196" s="130"/>
      <c r="G196" s="131">
        <f t="shared" si="3"/>
        <v>800.6</v>
      </c>
    </row>
    <row r="197" spans="1:7" x14ac:dyDescent="0.2">
      <c r="A197" s="129" t="s">
        <v>442</v>
      </c>
      <c r="B197" s="130"/>
      <c r="C197" s="130"/>
      <c r="D197" s="130"/>
      <c r="E197" s="131">
        <f>2081.82</f>
        <v>2081.8200000000002</v>
      </c>
      <c r="F197" s="130"/>
      <c r="G197" s="131">
        <f t="shared" si="3"/>
        <v>2081.8200000000002</v>
      </c>
    </row>
    <row r="198" spans="1:7" x14ac:dyDescent="0.2">
      <c r="A198" s="129" t="s">
        <v>763</v>
      </c>
      <c r="B198" s="130"/>
      <c r="C198" s="130"/>
      <c r="D198" s="130"/>
      <c r="E198" s="131">
        <v>1167.32</v>
      </c>
      <c r="F198" s="130"/>
      <c r="G198" s="131">
        <f t="shared" si="3"/>
        <v>1167.32</v>
      </c>
    </row>
    <row r="199" spans="1:7" x14ac:dyDescent="0.2">
      <c r="A199" s="129" t="s">
        <v>2327</v>
      </c>
      <c r="B199" s="130"/>
      <c r="C199" s="130"/>
      <c r="D199" s="130"/>
      <c r="E199" s="131">
        <f>21.6</f>
        <v>21.6</v>
      </c>
      <c r="F199" s="130"/>
      <c r="G199" s="131">
        <f t="shared" si="3"/>
        <v>21.6</v>
      </c>
    </row>
    <row r="200" spans="1:7" x14ac:dyDescent="0.2">
      <c r="A200" s="129" t="s">
        <v>305</v>
      </c>
      <c r="B200" s="132">
        <f>((((B195)+(B196))+(B197))+(B198))+(B199)</f>
        <v>0</v>
      </c>
      <c r="C200" s="132">
        <f>((((C195)+(C196))+(C197))+(C198))+(C199)</f>
        <v>0</v>
      </c>
      <c r="D200" s="132">
        <f>((((D195)+(D196))+(D197))+(D198))+(D199)</f>
        <v>0</v>
      </c>
      <c r="E200" s="132">
        <f>((((E195)+(E196))+(E197))+(E198))+(E199)</f>
        <v>4071.3399999999997</v>
      </c>
      <c r="F200" s="132">
        <f>((((F195)+(F196))+(F197))+(F198))+(F199)</f>
        <v>0</v>
      </c>
      <c r="G200" s="132">
        <f t="shared" si="3"/>
        <v>4071.3399999999997</v>
      </c>
    </row>
    <row r="201" spans="1:7" x14ac:dyDescent="0.2">
      <c r="A201" s="129" t="s">
        <v>306</v>
      </c>
      <c r="B201" s="132">
        <f>((((B168)+(B180))+(B186))+(B194))+(B200)</f>
        <v>0</v>
      </c>
      <c r="C201" s="132">
        <f>((((C168)+(C180))+(C186))+(C194))+(C200)</f>
        <v>0</v>
      </c>
      <c r="D201" s="132">
        <f>((((D168)+(D180))+(D186))+(D194))+(D200)</f>
        <v>0</v>
      </c>
      <c r="E201" s="132">
        <f>((((E168)+(E180))+(E186))+(E194))+(E200)</f>
        <v>141914.66</v>
      </c>
      <c r="F201" s="132">
        <f>((((F168)+(F180))+(F186))+(F194))+(F200)</f>
        <v>0</v>
      </c>
      <c r="G201" s="132">
        <f t="shared" si="3"/>
        <v>141914.66</v>
      </c>
    </row>
    <row r="202" spans="1:7" x14ac:dyDescent="0.2">
      <c r="A202" s="129" t="s">
        <v>444</v>
      </c>
      <c r="B202" s="130"/>
      <c r="C202" s="130"/>
      <c r="D202" s="130"/>
      <c r="E202" s="130"/>
      <c r="F202" s="130"/>
      <c r="G202" s="131">
        <f t="shared" si="3"/>
        <v>0</v>
      </c>
    </row>
    <row r="203" spans="1:7" x14ac:dyDescent="0.2">
      <c r="A203" s="129" t="s">
        <v>510</v>
      </c>
      <c r="B203" s="130"/>
      <c r="C203" s="130"/>
      <c r="D203" s="131">
        <f>73762.51</f>
        <v>73762.509999999995</v>
      </c>
      <c r="E203" s="130"/>
      <c r="F203" s="130"/>
      <c r="G203" s="131">
        <f t="shared" si="3"/>
        <v>73762.509999999995</v>
      </c>
    </row>
    <row r="204" spans="1:7" x14ac:dyDescent="0.2">
      <c r="A204" s="129" t="s">
        <v>448</v>
      </c>
      <c r="B204" s="130"/>
      <c r="C204" s="130"/>
      <c r="D204" s="131">
        <f>82500</f>
        <v>82500</v>
      </c>
      <c r="E204" s="130"/>
      <c r="F204" s="130"/>
      <c r="G204" s="131">
        <f t="shared" si="3"/>
        <v>82500</v>
      </c>
    </row>
    <row r="205" spans="1:7" x14ac:dyDescent="0.2">
      <c r="A205" s="129" t="s">
        <v>449</v>
      </c>
      <c r="B205" s="130"/>
      <c r="C205" s="130"/>
      <c r="D205" s="130"/>
      <c r="E205" s="130"/>
      <c r="F205" s="130"/>
      <c r="G205" s="131">
        <f t="shared" si="3"/>
        <v>0</v>
      </c>
    </row>
    <row r="206" spans="1:7" x14ac:dyDescent="0.2">
      <c r="A206" s="129" t="s">
        <v>473</v>
      </c>
      <c r="B206" s="130"/>
      <c r="C206" s="130"/>
      <c r="D206" s="131">
        <f>420</f>
        <v>420</v>
      </c>
      <c r="E206" s="130"/>
      <c r="F206" s="130"/>
      <c r="G206" s="131">
        <f t="shared" si="3"/>
        <v>420</v>
      </c>
    </row>
    <row r="207" spans="1:7" x14ac:dyDescent="0.2">
      <c r="A207" s="129" t="s">
        <v>475</v>
      </c>
      <c r="B207" s="130"/>
      <c r="C207" s="130"/>
      <c r="D207" s="131">
        <f>133.29</f>
        <v>133.29</v>
      </c>
      <c r="E207" s="130"/>
      <c r="F207" s="130"/>
      <c r="G207" s="131">
        <f t="shared" si="3"/>
        <v>133.29</v>
      </c>
    </row>
    <row r="208" spans="1:7" x14ac:dyDescent="0.2">
      <c r="A208" s="129" t="s">
        <v>450</v>
      </c>
      <c r="B208" s="132">
        <f>((B205)+(B206))+(B207)</f>
        <v>0</v>
      </c>
      <c r="C208" s="132">
        <f>((C205)+(C206))+(C207)</f>
        <v>0</v>
      </c>
      <c r="D208" s="132">
        <f>((D205)+(D206))+(D207)</f>
        <v>553.29</v>
      </c>
      <c r="E208" s="132">
        <f>((E205)+(E206))+(E207)</f>
        <v>0</v>
      </c>
      <c r="F208" s="132">
        <f>((F205)+(F206))+(F207)</f>
        <v>0</v>
      </c>
      <c r="G208" s="132">
        <f t="shared" si="3"/>
        <v>553.29</v>
      </c>
    </row>
    <row r="209" spans="1:7" x14ac:dyDescent="0.2">
      <c r="A209" s="129" t="s">
        <v>451</v>
      </c>
      <c r="B209" s="132">
        <f>(((B202)+(B203))+(B204))+(B208)</f>
        <v>0</v>
      </c>
      <c r="C209" s="132">
        <f>(((C202)+(C203))+(C204))+(C208)</f>
        <v>0</v>
      </c>
      <c r="D209" s="132">
        <f>(((D202)+(D203))+(D204))+(D208)</f>
        <v>156815.80000000002</v>
      </c>
      <c r="E209" s="132">
        <f>(((E202)+(E203))+(E204))+(E208)</f>
        <v>0</v>
      </c>
      <c r="F209" s="132">
        <f>(((F202)+(F203))+(F204))+(F208)</f>
        <v>0</v>
      </c>
      <c r="G209" s="132">
        <f t="shared" si="3"/>
        <v>156815.80000000002</v>
      </c>
    </row>
    <row r="210" spans="1:7" x14ac:dyDescent="0.2">
      <c r="A210" s="129" t="s">
        <v>307</v>
      </c>
      <c r="B210" s="130"/>
      <c r="C210" s="130"/>
      <c r="D210" s="130"/>
      <c r="E210" s="130"/>
      <c r="F210" s="130"/>
      <c r="G210" s="131">
        <f t="shared" si="3"/>
        <v>0</v>
      </c>
    </row>
    <row r="211" spans="1:7" x14ac:dyDescent="0.2">
      <c r="A211" s="129" t="s">
        <v>308</v>
      </c>
      <c r="B211" s="130"/>
      <c r="C211" s="130"/>
      <c r="D211" s="130"/>
      <c r="E211" s="130"/>
      <c r="F211" s="130"/>
      <c r="G211" s="131">
        <f t="shared" si="3"/>
        <v>0</v>
      </c>
    </row>
    <row r="212" spans="1:7" x14ac:dyDescent="0.2">
      <c r="A212" s="129" t="s">
        <v>311</v>
      </c>
      <c r="B212" s="130"/>
      <c r="C212" s="130"/>
      <c r="D212" s="130"/>
      <c r="E212" s="131">
        <f>854.58</f>
        <v>854.58</v>
      </c>
      <c r="F212" s="130"/>
      <c r="G212" s="131">
        <f t="shared" si="3"/>
        <v>854.58</v>
      </c>
    </row>
    <row r="213" spans="1:7" x14ac:dyDescent="0.2">
      <c r="A213" s="129" t="s">
        <v>575</v>
      </c>
      <c r="B213" s="130"/>
      <c r="C213" s="130"/>
      <c r="D213" s="130"/>
      <c r="E213" s="131">
        <f>524.14</f>
        <v>524.14</v>
      </c>
      <c r="F213" s="130"/>
      <c r="G213" s="131">
        <f t="shared" si="3"/>
        <v>524.14</v>
      </c>
    </row>
    <row r="214" spans="1:7" x14ac:dyDescent="0.2">
      <c r="A214" s="129" t="s">
        <v>312</v>
      </c>
      <c r="B214" s="130"/>
      <c r="C214" s="130"/>
      <c r="D214" s="130"/>
      <c r="E214" s="131">
        <f>601.35</f>
        <v>601.35</v>
      </c>
      <c r="F214" s="130"/>
      <c r="G214" s="131">
        <f t="shared" si="3"/>
        <v>601.35</v>
      </c>
    </row>
    <row r="215" spans="1:7" x14ac:dyDescent="0.2">
      <c r="A215" s="129" t="s">
        <v>315</v>
      </c>
      <c r="B215" s="130"/>
      <c r="C215" s="130"/>
      <c r="D215" s="130"/>
      <c r="E215" s="131">
        <f>4930.11</f>
        <v>4930.1099999999997</v>
      </c>
      <c r="F215" s="130"/>
      <c r="G215" s="131">
        <f t="shared" si="3"/>
        <v>4930.1099999999997</v>
      </c>
    </row>
    <row r="216" spans="1:7" x14ac:dyDescent="0.2">
      <c r="A216" s="129" t="s">
        <v>2677</v>
      </c>
      <c r="B216" s="130"/>
      <c r="C216" s="130"/>
      <c r="D216" s="130"/>
      <c r="E216" s="131">
        <f>1262.68</f>
        <v>1262.68</v>
      </c>
      <c r="F216" s="130"/>
      <c r="G216" s="131">
        <f t="shared" si="3"/>
        <v>1262.68</v>
      </c>
    </row>
    <row r="217" spans="1:7" x14ac:dyDescent="0.2">
      <c r="A217" s="129" t="s">
        <v>316</v>
      </c>
      <c r="B217" s="130"/>
      <c r="C217" s="130"/>
      <c r="D217" s="130"/>
      <c r="E217" s="131">
        <f>300</f>
        <v>300</v>
      </c>
      <c r="F217" s="130"/>
      <c r="G217" s="131">
        <f t="shared" si="3"/>
        <v>300</v>
      </c>
    </row>
    <row r="218" spans="1:7" x14ac:dyDescent="0.2">
      <c r="A218" s="129" t="s">
        <v>317</v>
      </c>
      <c r="B218" s="130"/>
      <c r="C218" s="130"/>
      <c r="D218" s="130"/>
      <c r="E218" s="131">
        <f>405.59</f>
        <v>405.59</v>
      </c>
      <c r="F218" s="130"/>
      <c r="G218" s="131">
        <f t="shared" si="3"/>
        <v>405.59</v>
      </c>
    </row>
    <row r="219" spans="1:7" x14ac:dyDescent="0.2">
      <c r="A219" s="129" t="s">
        <v>2328</v>
      </c>
      <c r="B219" s="130"/>
      <c r="C219" s="130"/>
      <c r="D219" s="130"/>
      <c r="E219" s="131">
        <f>200</f>
        <v>200</v>
      </c>
      <c r="F219" s="130"/>
      <c r="G219" s="131">
        <f t="shared" si="3"/>
        <v>200</v>
      </c>
    </row>
    <row r="220" spans="1:7" x14ac:dyDescent="0.2">
      <c r="A220" s="129" t="s">
        <v>602</v>
      </c>
      <c r="B220" s="130"/>
      <c r="C220" s="130"/>
      <c r="D220" s="130"/>
      <c r="E220" s="131">
        <f>1608</f>
        <v>1608</v>
      </c>
      <c r="F220" s="130"/>
      <c r="G220" s="131">
        <f t="shared" si="3"/>
        <v>1608</v>
      </c>
    </row>
    <row r="221" spans="1:7" x14ac:dyDescent="0.2">
      <c r="A221" s="129" t="s">
        <v>599</v>
      </c>
      <c r="B221" s="130"/>
      <c r="C221" s="130"/>
      <c r="D221" s="130"/>
      <c r="E221" s="131">
        <f>2100</f>
        <v>2100</v>
      </c>
      <c r="F221" s="130"/>
      <c r="G221" s="131">
        <f t="shared" si="3"/>
        <v>2100</v>
      </c>
    </row>
    <row r="222" spans="1:7" x14ac:dyDescent="0.2">
      <c r="A222" s="129" t="s">
        <v>319</v>
      </c>
      <c r="B222" s="132">
        <f>((((((((((B211)+(B212))+(B213))+(B214))+(B215))+(B216))+(B217))+(B218))+(B219))+(B220))+(B221)</f>
        <v>0</v>
      </c>
      <c r="C222" s="132">
        <f>((((((((((C211)+(C212))+(C213))+(C214))+(C215))+(C216))+(C217))+(C218))+(C219))+(C220))+(C221)</f>
        <v>0</v>
      </c>
      <c r="D222" s="132">
        <f>((((((((((D211)+(D212))+(D213))+(D214))+(D215))+(D216))+(D217))+(D218))+(D219))+(D220))+(D221)</f>
        <v>0</v>
      </c>
      <c r="E222" s="132">
        <f>((((((((((E211)+(E212))+(E213))+(E214))+(E215))+(E216))+(E217))+(E218))+(E219))+(E220))+(E221)</f>
        <v>12786.45</v>
      </c>
      <c r="F222" s="132">
        <f>((((((((((F211)+(F212))+(F213))+(F214))+(F215))+(F216))+(F217))+(F218))+(F219))+(F220))+(F221)</f>
        <v>0</v>
      </c>
      <c r="G222" s="132">
        <f t="shared" si="3"/>
        <v>12786.45</v>
      </c>
    </row>
    <row r="223" spans="1:7" x14ac:dyDescent="0.2">
      <c r="A223" s="129" t="s">
        <v>320</v>
      </c>
      <c r="B223" s="130"/>
      <c r="C223" s="130"/>
      <c r="D223" s="130"/>
      <c r="E223" s="130"/>
      <c r="F223" s="130"/>
      <c r="G223" s="131">
        <f t="shared" si="3"/>
        <v>0</v>
      </c>
    </row>
    <row r="224" spans="1:7" x14ac:dyDescent="0.2">
      <c r="A224" s="129" t="s">
        <v>321</v>
      </c>
      <c r="B224" s="130"/>
      <c r="C224" s="130"/>
      <c r="D224" s="130"/>
      <c r="E224" s="131">
        <f>3071.43</f>
        <v>3071.43</v>
      </c>
      <c r="F224" s="130"/>
      <c r="G224" s="131">
        <f t="shared" si="3"/>
        <v>3071.43</v>
      </c>
    </row>
    <row r="225" spans="1:7" x14ac:dyDescent="0.2">
      <c r="A225" s="129" t="s">
        <v>452</v>
      </c>
      <c r="B225" s="130"/>
      <c r="C225" s="130"/>
      <c r="D225" s="130"/>
      <c r="E225" s="131">
        <f>14333.6</f>
        <v>14333.6</v>
      </c>
      <c r="F225" s="130"/>
      <c r="G225" s="131">
        <f t="shared" si="3"/>
        <v>14333.6</v>
      </c>
    </row>
    <row r="226" spans="1:7" x14ac:dyDescent="0.2">
      <c r="A226" s="129" t="s">
        <v>453</v>
      </c>
      <c r="B226" s="130"/>
      <c r="C226" s="130"/>
      <c r="D226" s="130"/>
      <c r="E226" s="131">
        <f>51708.23</f>
        <v>51708.23</v>
      </c>
      <c r="F226" s="130"/>
      <c r="G226" s="131">
        <f t="shared" si="3"/>
        <v>51708.23</v>
      </c>
    </row>
    <row r="227" spans="1:7" x14ac:dyDescent="0.2">
      <c r="A227" s="129" t="s">
        <v>477</v>
      </c>
      <c r="B227" s="130"/>
      <c r="C227" s="130"/>
      <c r="D227" s="130"/>
      <c r="E227" s="131">
        <f>750</f>
        <v>750</v>
      </c>
      <c r="F227" s="130"/>
      <c r="G227" s="131">
        <f t="shared" si="3"/>
        <v>750</v>
      </c>
    </row>
    <row r="228" spans="1:7" x14ac:dyDescent="0.2">
      <c r="A228" s="129" t="s">
        <v>322</v>
      </c>
      <c r="B228" s="130"/>
      <c r="C228" s="130"/>
      <c r="D228" s="130"/>
      <c r="E228" s="131">
        <f>1840.82</f>
        <v>1840.82</v>
      </c>
      <c r="F228" s="130"/>
      <c r="G228" s="131">
        <f t="shared" si="3"/>
        <v>1840.82</v>
      </c>
    </row>
    <row r="229" spans="1:7" x14ac:dyDescent="0.2">
      <c r="A229" s="129" t="s">
        <v>454</v>
      </c>
      <c r="B229" s="130"/>
      <c r="C229" s="130"/>
      <c r="D229" s="130"/>
      <c r="E229" s="131">
        <f>240</f>
        <v>240</v>
      </c>
      <c r="F229" s="130"/>
      <c r="G229" s="131">
        <f t="shared" si="3"/>
        <v>240</v>
      </c>
    </row>
    <row r="230" spans="1:7" x14ac:dyDescent="0.2">
      <c r="A230" s="129" t="s">
        <v>376</v>
      </c>
      <c r="B230" s="130"/>
      <c r="C230" s="130"/>
      <c r="D230" s="130"/>
      <c r="E230" s="130"/>
      <c r="F230" s="130"/>
      <c r="G230" s="131">
        <f t="shared" si="3"/>
        <v>0</v>
      </c>
    </row>
    <row r="231" spans="1:7" x14ac:dyDescent="0.2">
      <c r="A231" s="129" t="s">
        <v>377</v>
      </c>
      <c r="B231" s="130"/>
      <c r="C231" s="130"/>
      <c r="D231" s="130"/>
      <c r="E231" s="131">
        <f>2283.61</f>
        <v>2283.61</v>
      </c>
      <c r="F231" s="130"/>
      <c r="G231" s="131">
        <f t="shared" si="3"/>
        <v>2283.61</v>
      </c>
    </row>
    <row r="232" spans="1:7" x14ac:dyDescent="0.2">
      <c r="A232" s="129" t="s">
        <v>488</v>
      </c>
      <c r="B232" s="130"/>
      <c r="C232" s="130"/>
      <c r="D232" s="130"/>
      <c r="E232" s="131">
        <f>6190</f>
        <v>6190</v>
      </c>
      <c r="F232" s="130"/>
      <c r="G232" s="131">
        <f t="shared" si="3"/>
        <v>6190</v>
      </c>
    </row>
    <row r="233" spans="1:7" x14ac:dyDescent="0.2">
      <c r="A233" s="129" t="s">
        <v>2329</v>
      </c>
      <c r="B233" s="130"/>
      <c r="C233" s="130"/>
      <c r="D233" s="130"/>
      <c r="E233" s="131">
        <f>162</f>
        <v>162</v>
      </c>
      <c r="F233" s="130"/>
      <c r="G233" s="131">
        <f t="shared" si="3"/>
        <v>162</v>
      </c>
    </row>
    <row r="234" spans="1:7" x14ac:dyDescent="0.2">
      <c r="A234" s="129" t="s">
        <v>514</v>
      </c>
      <c r="B234" s="132">
        <f>(((B230)+(B231))+(B232))+(B233)</f>
        <v>0</v>
      </c>
      <c r="C234" s="132">
        <f>(((C230)+(C231))+(C232))+(C233)</f>
        <v>0</v>
      </c>
      <c r="D234" s="132">
        <f>(((D230)+(D231))+(D232))+(D233)</f>
        <v>0</v>
      </c>
      <c r="E234" s="132">
        <f>(((E230)+(E231))+(E232))+(E233)</f>
        <v>8635.61</v>
      </c>
      <c r="F234" s="132">
        <f>(((F230)+(F231))+(F232))+(F233)</f>
        <v>0</v>
      </c>
      <c r="G234" s="132">
        <f t="shared" si="3"/>
        <v>8635.61</v>
      </c>
    </row>
    <row r="235" spans="1:7" x14ac:dyDescent="0.2">
      <c r="A235" s="129" t="s">
        <v>1780</v>
      </c>
      <c r="B235" s="130"/>
      <c r="C235" s="130"/>
      <c r="D235" s="130"/>
      <c r="E235" s="131">
        <f>3053.24</f>
        <v>3053.24</v>
      </c>
      <c r="F235" s="130"/>
      <c r="G235" s="131">
        <f t="shared" si="3"/>
        <v>3053.24</v>
      </c>
    </row>
    <row r="236" spans="1:7" x14ac:dyDescent="0.2">
      <c r="A236" s="129" t="s">
        <v>468</v>
      </c>
      <c r="B236" s="130"/>
      <c r="C236" s="130"/>
      <c r="D236" s="130"/>
      <c r="E236" s="130"/>
      <c r="F236" s="130"/>
      <c r="G236" s="131">
        <f t="shared" si="3"/>
        <v>0</v>
      </c>
    </row>
    <row r="237" spans="1:7" x14ac:dyDescent="0.2">
      <c r="A237" s="129" t="s">
        <v>497</v>
      </c>
      <c r="B237" s="130"/>
      <c r="C237" s="130"/>
      <c r="D237" s="130"/>
      <c r="E237" s="131">
        <f>10825</f>
        <v>10825</v>
      </c>
      <c r="F237" s="130"/>
      <c r="G237" s="131">
        <f t="shared" si="3"/>
        <v>10825</v>
      </c>
    </row>
    <row r="238" spans="1:7" x14ac:dyDescent="0.2">
      <c r="A238" s="129" t="s">
        <v>515</v>
      </c>
      <c r="B238" s="132">
        <f>(B236)+(B237)</f>
        <v>0</v>
      </c>
      <c r="C238" s="132">
        <f>(C236)+(C237)</f>
        <v>0</v>
      </c>
      <c r="D238" s="132">
        <f>(D236)+(D237)</f>
        <v>0</v>
      </c>
      <c r="E238" s="132">
        <f>(E236)+(E237)</f>
        <v>10825</v>
      </c>
      <c r="F238" s="132">
        <f>(F236)+(F237)</f>
        <v>0</v>
      </c>
      <c r="G238" s="132">
        <f t="shared" si="3"/>
        <v>10825</v>
      </c>
    </row>
    <row r="239" spans="1:7" x14ac:dyDescent="0.2">
      <c r="A239" s="129" t="s">
        <v>323</v>
      </c>
      <c r="B239" s="132">
        <f>(((((((((B223)+(B224))+(B225))+(B226))+(B227))+(B228))+(B229))+(B234))+(B235))+(B238)</f>
        <v>0</v>
      </c>
      <c r="C239" s="132">
        <f>(((((((((C223)+(C224))+(C225))+(C226))+(C227))+(C228))+(C229))+(C234))+(C235))+(C238)</f>
        <v>0</v>
      </c>
      <c r="D239" s="132">
        <f>(((((((((D223)+(D224))+(D225))+(D226))+(D227))+(D228))+(D229))+(D234))+(D235))+(D238)</f>
        <v>0</v>
      </c>
      <c r="E239" s="132">
        <f>(((((((((E223)+(E224))+(E225))+(E226))+(E227))+(E228))+(E229))+(E234))+(E235))+(E238)</f>
        <v>94457.930000000022</v>
      </c>
      <c r="F239" s="132">
        <f>(((((((((F223)+(F224))+(F225))+(F226))+(F227))+(F228))+(F229))+(F234))+(F235))+(F238)</f>
        <v>0</v>
      </c>
      <c r="G239" s="132">
        <f t="shared" si="3"/>
        <v>94457.930000000022</v>
      </c>
    </row>
    <row r="240" spans="1:7" x14ac:dyDescent="0.2">
      <c r="A240" s="129" t="s">
        <v>324</v>
      </c>
      <c r="B240" s="132">
        <f>((B210)+(B222))+(B239)</f>
        <v>0</v>
      </c>
      <c r="C240" s="132">
        <f>((C210)+(C222))+(C239)</f>
        <v>0</v>
      </c>
      <c r="D240" s="132">
        <f>((D210)+(D222))+(D239)</f>
        <v>0</v>
      </c>
      <c r="E240" s="132">
        <f>((E210)+(E222))+(E239)</f>
        <v>107244.38000000002</v>
      </c>
      <c r="F240" s="132">
        <f>((F210)+(F222))+(F239)</f>
        <v>0</v>
      </c>
      <c r="G240" s="132">
        <f t="shared" si="3"/>
        <v>107244.38000000002</v>
      </c>
    </row>
    <row r="241" spans="1:7" x14ac:dyDescent="0.2">
      <c r="A241" s="129" t="s">
        <v>325</v>
      </c>
      <c r="B241" s="132">
        <f>(((B167)+(B201))+(B209))+(B240)</f>
        <v>0</v>
      </c>
      <c r="C241" s="132">
        <f>(((C167)+(C201))+(C209))+(C240)</f>
        <v>0</v>
      </c>
      <c r="D241" s="132">
        <f>(((D167)+(D201))+(D209))+(D240)</f>
        <v>156815.80000000002</v>
      </c>
      <c r="E241" s="132">
        <f>(((E167)+(E201))+(E209))+(E240)</f>
        <v>249159.04000000004</v>
      </c>
      <c r="F241" s="132">
        <f>(((F167)+(F201))+(F209))+(F240)</f>
        <v>0</v>
      </c>
      <c r="G241" s="132">
        <f t="shared" si="3"/>
        <v>405974.84000000008</v>
      </c>
    </row>
    <row r="242" spans="1:7" x14ac:dyDescent="0.2">
      <c r="A242" s="129" t="s">
        <v>326</v>
      </c>
      <c r="B242" s="132">
        <f>(B166)+(B241)</f>
        <v>354514.63</v>
      </c>
      <c r="C242" s="132">
        <f>(C166)+(C241)</f>
        <v>0</v>
      </c>
      <c r="D242" s="132">
        <f>(D166)+(D241)</f>
        <v>156815.80000000002</v>
      </c>
      <c r="E242" s="132">
        <f>(E166)+(E241)</f>
        <v>249159.04000000004</v>
      </c>
      <c r="F242" s="132">
        <f>(F166)+(F241)</f>
        <v>0</v>
      </c>
      <c r="G242" s="132">
        <f t="shared" si="3"/>
        <v>760489.47000000009</v>
      </c>
    </row>
    <row r="243" spans="1:7" x14ac:dyDescent="0.2">
      <c r="A243" s="129" t="s">
        <v>327</v>
      </c>
      <c r="B243" s="132">
        <f>(B50)-(B242)</f>
        <v>-45829.02999999997</v>
      </c>
      <c r="C243" s="132">
        <f>(C50)-(C242)</f>
        <v>0</v>
      </c>
      <c r="D243" s="132">
        <f>(D50)-(D242)</f>
        <v>-7138.3000000000175</v>
      </c>
      <c r="E243" s="132">
        <f>(E50)-(E242)</f>
        <v>-39680.800000000047</v>
      </c>
      <c r="F243" s="132">
        <f>(F50)-(F242)</f>
        <v>0</v>
      </c>
      <c r="G243" s="132">
        <f t="shared" si="3"/>
        <v>-92648.130000000034</v>
      </c>
    </row>
    <row r="244" spans="1:7" x14ac:dyDescent="0.2">
      <c r="A244" s="129" t="s">
        <v>9</v>
      </c>
      <c r="B244" s="130"/>
      <c r="C244" s="130"/>
      <c r="D244" s="130"/>
      <c r="E244" s="130"/>
      <c r="F244" s="130"/>
      <c r="G244" s="130"/>
    </row>
    <row r="245" spans="1:7" x14ac:dyDescent="0.2">
      <c r="A245" s="129" t="s">
        <v>328</v>
      </c>
      <c r="B245" s="130"/>
      <c r="C245" s="130"/>
      <c r="D245" s="130"/>
      <c r="E245" s="130"/>
      <c r="F245" s="130"/>
      <c r="G245" s="131">
        <f t="shared" ref="G245:G264" si="4">((((B245)+(C245))+(D245))+(E245))+(F245)</f>
        <v>0</v>
      </c>
    </row>
    <row r="246" spans="1:7" x14ac:dyDescent="0.2">
      <c r="A246" s="129" t="s">
        <v>2215</v>
      </c>
      <c r="B246" s="130"/>
      <c r="C246" s="131">
        <f>311</f>
        <v>311</v>
      </c>
      <c r="D246" s="130"/>
      <c r="E246" s="130"/>
      <c r="F246" s="130"/>
      <c r="G246" s="131">
        <f t="shared" si="4"/>
        <v>311</v>
      </c>
    </row>
    <row r="247" spans="1:7" x14ac:dyDescent="0.2">
      <c r="A247" s="129" t="s">
        <v>1773</v>
      </c>
      <c r="B247" s="130"/>
      <c r="C247" s="130"/>
      <c r="D247" s="130"/>
      <c r="E247" s="130"/>
      <c r="F247" s="130"/>
      <c r="G247" s="131">
        <f t="shared" si="4"/>
        <v>0</v>
      </c>
    </row>
    <row r="248" spans="1:7" x14ac:dyDescent="0.2">
      <c r="A248" s="129" t="s">
        <v>1774</v>
      </c>
      <c r="B248" s="130"/>
      <c r="C248" s="131">
        <f>15400</f>
        <v>15400</v>
      </c>
      <c r="D248" s="130"/>
      <c r="E248" s="130"/>
      <c r="F248" s="130"/>
      <c r="G248" s="131">
        <f t="shared" si="4"/>
        <v>15400</v>
      </c>
    </row>
    <row r="249" spans="1:7" x14ac:dyDescent="0.2">
      <c r="A249" s="129" t="s">
        <v>1775</v>
      </c>
      <c r="B249" s="132">
        <f>(B247)+(B248)</f>
        <v>0</v>
      </c>
      <c r="C249" s="132">
        <f>(C247)+(C248)</f>
        <v>15400</v>
      </c>
      <c r="D249" s="132">
        <f>(D247)+(D248)</f>
        <v>0</v>
      </c>
      <c r="E249" s="132">
        <f>(E247)+(E248)</f>
        <v>0</v>
      </c>
      <c r="F249" s="132">
        <f>(F247)+(F248)</f>
        <v>0</v>
      </c>
      <c r="G249" s="132">
        <f t="shared" si="4"/>
        <v>15400</v>
      </c>
    </row>
    <row r="250" spans="1:7" x14ac:dyDescent="0.2">
      <c r="A250" s="129" t="s">
        <v>1266</v>
      </c>
      <c r="B250" s="130"/>
      <c r="C250" s="130"/>
      <c r="D250" s="130"/>
      <c r="E250" s="130"/>
      <c r="F250" s="130"/>
      <c r="G250" s="131">
        <f t="shared" si="4"/>
        <v>0</v>
      </c>
    </row>
    <row r="251" spans="1:7" x14ac:dyDescent="0.2">
      <c r="A251" s="129" t="s">
        <v>1267</v>
      </c>
      <c r="B251" s="130"/>
      <c r="C251" s="131">
        <f>203.6</f>
        <v>203.6</v>
      </c>
      <c r="D251" s="130"/>
      <c r="E251" s="130"/>
      <c r="F251" s="130"/>
      <c r="G251" s="131">
        <f t="shared" si="4"/>
        <v>203.6</v>
      </c>
    </row>
    <row r="252" spans="1:7" x14ac:dyDescent="0.2">
      <c r="A252" s="129" t="s">
        <v>1268</v>
      </c>
      <c r="B252" s="132">
        <f>(B250)+(B251)</f>
        <v>0</v>
      </c>
      <c r="C252" s="132">
        <f>(C250)+(C251)</f>
        <v>203.6</v>
      </c>
      <c r="D252" s="132">
        <f>(D250)+(D251)</f>
        <v>0</v>
      </c>
      <c r="E252" s="132">
        <f>(E250)+(E251)</f>
        <v>0</v>
      </c>
      <c r="F252" s="132">
        <f>(F250)+(F251)</f>
        <v>0</v>
      </c>
      <c r="G252" s="132">
        <f t="shared" si="4"/>
        <v>203.6</v>
      </c>
    </row>
    <row r="253" spans="1:7" x14ac:dyDescent="0.2">
      <c r="A253" s="129" t="s">
        <v>329</v>
      </c>
      <c r="B253" s="130"/>
      <c r="C253" s="131">
        <f>7860.04</f>
        <v>7860.04</v>
      </c>
      <c r="D253" s="130"/>
      <c r="E253" s="130"/>
      <c r="F253" s="130"/>
      <c r="G253" s="131">
        <f t="shared" si="4"/>
        <v>7860.04</v>
      </c>
    </row>
    <row r="254" spans="1:7" x14ac:dyDescent="0.2">
      <c r="A254" s="129" t="s">
        <v>1445</v>
      </c>
      <c r="B254" s="130"/>
      <c r="C254" s="131">
        <f>5000</f>
        <v>5000</v>
      </c>
      <c r="D254" s="130"/>
      <c r="E254" s="130"/>
      <c r="F254" s="130"/>
      <c r="G254" s="131">
        <f t="shared" si="4"/>
        <v>5000</v>
      </c>
    </row>
    <row r="255" spans="1:7" x14ac:dyDescent="0.2">
      <c r="A255" s="129" t="s">
        <v>740</v>
      </c>
      <c r="B255" s="130"/>
      <c r="C255" s="131">
        <f>323.92</f>
        <v>323.92</v>
      </c>
      <c r="D255" s="130"/>
      <c r="E255" s="130"/>
      <c r="F255" s="130"/>
      <c r="G255" s="131">
        <f t="shared" si="4"/>
        <v>323.92</v>
      </c>
    </row>
    <row r="256" spans="1:7" x14ac:dyDescent="0.2">
      <c r="A256" s="129" t="s">
        <v>2330</v>
      </c>
      <c r="B256" s="130"/>
      <c r="C256" s="131">
        <f>150</f>
        <v>150</v>
      </c>
      <c r="D256" s="130"/>
      <c r="E256" s="130"/>
      <c r="F256" s="130"/>
      <c r="G256" s="131">
        <f t="shared" si="4"/>
        <v>150</v>
      </c>
    </row>
    <row r="257" spans="1:7" x14ac:dyDescent="0.2">
      <c r="A257" s="129" t="s">
        <v>330</v>
      </c>
      <c r="B257" s="132">
        <f>(((((((B245)+(B246))+(B249))+(B252))+(B253))+(B254))+(B255))+(B256)</f>
        <v>0</v>
      </c>
      <c r="C257" s="132">
        <f>(((((((C245)+(C246))+(C249))+(C252))+(C253))+(C254))+(C255))+(C256)</f>
        <v>29248.559999999998</v>
      </c>
      <c r="D257" s="132">
        <f>(((((((D245)+(D246))+(D249))+(D252))+(D253))+(D254))+(D255))+(D256)</f>
        <v>0</v>
      </c>
      <c r="E257" s="132">
        <f>(((((((E245)+(E246))+(E249))+(E252))+(E253))+(E254))+(E255))+(E256)</f>
        <v>0</v>
      </c>
      <c r="F257" s="132">
        <f>(((((((F245)+(F246))+(F249))+(F252))+(F253))+(F254))+(F255))+(F256)</f>
        <v>0</v>
      </c>
      <c r="G257" s="132">
        <f t="shared" si="4"/>
        <v>29248.559999999998</v>
      </c>
    </row>
    <row r="258" spans="1:7" x14ac:dyDescent="0.2">
      <c r="A258" s="129" t="s">
        <v>2216</v>
      </c>
      <c r="B258" s="131">
        <f>180</f>
        <v>180</v>
      </c>
      <c r="C258" s="130"/>
      <c r="D258" s="130"/>
      <c r="E258" s="131">
        <f>300</f>
        <v>300</v>
      </c>
      <c r="F258" s="130"/>
      <c r="G258" s="131">
        <f t="shared" si="4"/>
        <v>480</v>
      </c>
    </row>
    <row r="259" spans="1:7" x14ac:dyDescent="0.2">
      <c r="A259" s="129" t="s">
        <v>1135</v>
      </c>
      <c r="B259" s="130"/>
      <c r="C259" s="130"/>
      <c r="D259" s="130"/>
      <c r="E259" s="130"/>
      <c r="F259" s="130"/>
      <c r="G259" s="131">
        <f t="shared" si="4"/>
        <v>0</v>
      </c>
    </row>
    <row r="260" spans="1:7" x14ac:dyDescent="0.2">
      <c r="A260" s="129" t="s">
        <v>1136</v>
      </c>
      <c r="B260" s="131">
        <f>15488.56</f>
        <v>15488.56</v>
      </c>
      <c r="C260" s="130"/>
      <c r="D260" s="130"/>
      <c r="E260" s="130"/>
      <c r="F260" s="130"/>
      <c r="G260" s="131">
        <f t="shared" si="4"/>
        <v>15488.56</v>
      </c>
    </row>
    <row r="261" spans="1:7" x14ac:dyDescent="0.2">
      <c r="A261" s="129" t="s">
        <v>1137</v>
      </c>
      <c r="B261" s="130"/>
      <c r="C261" s="130"/>
      <c r="D261" s="130"/>
      <c r="E261" s="131">
        <f>5751.54</f>
        <v>5751.54</v>
      </c>
      <c r="F261" s="130"/>
      <c r="G261" s="131">
        <f t="shared" si="4"/>
        <v>5751.54</v>
      </c>
    </row>
    <row r="262" spans="1:7" x14ac:dyDescent="0.2">
      <c r="A262" s="129" t="s">
        <v>1138</v>
      </c>
      <c r="B262" s="131">
        <f>0</f>
        <v>0</v>
      </c>
      <c r="C262" s="130"/>
      <c r="D262" s="130"/>
      <c r="E262" s="131">
        <f>1020.07</f>
        <v>1020.07</v>
      </c>
      <c r="F262" s="130"/>
      <c r="G262" s="131">
        <f t="shared" si="4"/>
        <v>1020.07</v>
      </c>
    </row>
    <row r="263" spans="1:7" x14ac:dyDescent="0.2">
      <c r="A263" s="129" t="s">
        <v>1139</v>
      </c>
      <c r="B263" s="132">
        <f>(((B259)+(B260))+(B261))+(B262)</f>
        <v>15488.56</v>
      </c>
      <c r="C263" s="132">
        <f>(((C259)+(C260))+(C261))+(C262)</f>
        <v>0</v>
      </c>
      <c r="D263" s="132">
        <f>(((D259)+(D260))+(D261))+(D262)</f>
        <v>0</v>
      </c>
      <c r="E263" s="132">
        <f>(((E259)+(E260))+(E261))+(E262)</f>
        <v>6771.61</v>
      </c>
      <c r="F263" s="132">
        <f>(((F259)+(F260))+(F261))+(F262)</f>
        <v>0</v>
      </c>
      <c r="G263" s="132">
        <f t="shared" si="4"/>
        <v>22260.17</v>
      </c>
    </row>
    <row r="264" spans="1:7" x14ac:dyDescent="0.2">
      <c r="A264" s="129" t="s">
        <v>10</v>
      </c>
      <c r="B264" s="132">
        <f>((B257)+(B258))+(B263)</f>
        <v>15668.56</v>
      </c>
      <c r="C264" s="132">
        <f>((C257)+(C258))+(C263)</f>
        <v>29248.559999999998</v>
      </c>
      <c r="D264" s="132">
        <f>((D257)+(D258))+(D263)</f>
        <v>0</v>
      </c>
      <c r="E264" s="132">
        <f>((E257)+(E258))+(E263)</f>
        <v>7071.61</v>
      </c>
      <c r="F264" s="132">
        <f>((F257)+(F258))+(F263)</f>
        <v>0</v>
      </c>
      <c r="G264" s="132">
        <f t="shared" si="4"/>
        <v>51988.729999999996</v>
      </c>
    </row>
    <row r="265" spans="1:7" x14ac:dyDescent="0.2">
      <c r="A265" s="129" t="s">
        <v>962</v>
      </c>
      <c r="B265" s="130"/>
      <c r="C265" s="130"/>
      <c r="D265" s="130"/>
      <c r="E265" s="130"/>
      <c r="F265" s="130"/>
      <c r="G265" s="130"/>
    </row>
    <row r="266" spans="1:7" x14ac:dyDescent="0.2">
      <c r="A266" s="129" t="s">
        <v>963</v>
      </c>
      <c r="B266" s="130"/>
      <c r="C266" s="130"/>
      <c r="D266" s="130"/>
      <c r="E266" s="130"/>
      <c r="F266" s="130"/>
      <c r="G266" s="131">
        <f t="shared" ref="G266:G277" si="5">((((B266)+(C266))+(D266))+(E266))+(F266)</f>
        <v>0</v>
      </c>
    </row>
    <row r="267" spans="1:7" x14ac:dyDescent="0.2">
      <c r="A267" s="129" t="s">
        <v>2331</v>
      </c>
      <c r="B267" s="130"/>
      <c r="C267" s="131">
        <f>3000</f>
        <v>3000</v>
      </c>
      <c r="D267" s="130"/>
      <c r="E267" s="130"/>
      <c r="F267" s="130"/>
      <c r="G267" s="131">
        <f t="shared" si="5"/>
        <v>3000</v>
      </c>
    </row>
    <row r="268" spans="1:7" x14ac:dyDescent="0.2">
      <c r="A268" s="129" t="s">
        <v>2332</v>
      </c>
      <c r="B268" s="130"/>
      <c r="C268" s="131">
        <f>500</f>
        <v>500</v>
      </c>
      <c r="D268" s="130"/>
      <c r="E268" s="130"/>
      <c r="F268" s="130"/>
      <c r="G268" s="131">
        <f t="shared" si="5"/>
        <v>500</v>
      </c>
    </row>
    <row r="269" spans="1:7" x14ac:dyDescent="0.2">
      <c r="A269" s="129" t="s">
        <v>964</v>
      </c>
      <c r="B269" s="130"/>
      <c r="C269" s="131">
        <f>1515.58</f>
        <v>1515.58</v>
      </c>
      <c r="D269" s="130"/>
      <c r="E269" s="130"/>
      <c r="F269" s="130"/>
      <c r="G269" s="131">
        <f t="shared" si="5"/>
        <v>1515.58</v>
      </c>
    </row>
    <row r="270" spans="1:7" x14ac:dyDescent="0.2">
      <c r="A270" s="129" t="s">
        <v>2541</v>
      </c>
      <c r="B270" s="130"/>
      <c r="C270" s="130"/>
      <c r="D270" s="130"/>
      <c r="E270" s="130"/>
      <c r="F270" s="130"/>
      <c r="G270" s="131">
        <f t="shared" si="5"/>
        <v>0</v>
      </c>
    </row>
    <row r="271" spans="1:7" x14ac:dyDescent="0.2">
      <c r="A271" s="129" t="s">
        <v>2542</v>
      </c>
      <c r="B271" s="130"/>
      <c r="C271" s="131">
        <f>9100</f>
        <v>9100</v>
      </c>
      <c r="D271" s="130"/>
      <c r="E271" s="130"/>
      <c r="F271" s="130"/>
      <c r="G271" s="131">
        <f t="shared" si="5"/>
        <v>9100</v>
      </c>
    </row>
    <row r="272" spans="1:7" x14ac:dyDescent="0.2">
      <c r="A272" s="129" t="s">
        <v>2543</v>
      </c>
      <c r="B272" s="132">
        <f>(B270)+(B271)</f>
        <v>0</v>
      </c>
      <c r="C272" s="132">
        <f>(C270)+(C271)</f>
        <v>9100</v>
      </c>
      <c r="D272" s="132">
        <f>(D270)+(D271)</f>
        <v>0</v>
      </c>
      <c r="E272" s="132">
        <f>(E270)+(E271)</f>
        <v>0</v>
      </c>
      <c r="F272" s="132">
        <f>(F270)+(F271)</f>
        <v>0</v>
      </c>
      <c r="G272" s="132">
        <f t="shared" si="5"/>
        <v>9100</v>
      </c>
    </row>
    <row r="273" spans="1:7" x14ac:dyDescent="0.2">
      <c r="A273" s="129" t="s">
        <v>965</v>
      </c>
      <c r="B273" s="132">
        <f>((((B266)+(B267))+(B268))+(B269))+(B272)</f>
        <v>0</v>
      </c>
      <c r="C273" s="132">
        <f>((((C266)+(C267))+(C268))+(C269))+(C272)</f>
        <v>14115.58</v>
      </c>
      <c r="D273" s="132">
        <f>((((D266)+(D267))+(D268))+(D269))+(D272)</f>
        <v>0</v>
      </c>
      <c r="E273" s="132">
        <f>((((E266)+(E267))+(E268))+(E269))+(E272)</f>
        <v>0</v>
      </c>
      <c r="F273" s="132">
        <f>((((F266)+(F267))+(F268))+(F269))+(F272)</f>
        <v>0</v>
      </c>
      <c r="G273" s="132">
        <f t="shared" si="5"/>
        <v>14115.58</v>
      </c>
    </row>
    <row r="274" spans="1:7" x14ac:dyDescent="0.2">
      <c r="A274" s="129" t="s">
        <v>2678</v>
      </c>
      <c r="B274" s="130"/>
      <c r="C274" s="131">
        <f>5164</f>
        <v>5164</v>
      </c>
      <c r="D274" s="130"/>
      <c r="E274" s="130"/>
      <c r="F274" s="130"/>
      <c r="G274" s="131">
        <f t="shared" si="5"/>
        <v>5164</v>
      </c>
    </row>
    <row r="275" spans="1:7" x14ac:dyDescent="0.2">
      <c r="A275" s="129" t="s">
        <v>966</v>
      </c>
      <c r="B275" s="132">
        <f>(B273)+(B274)</f>
        <v>0</v>
      </c>
      <c r="C275" s="132">
        <f>(C273)+(C274)</f>
        <v>19279.580000000002</v>
      </c>
      <c r="D275" s="132">
        <f>(D273)+(D274)</f>
        <v>0</v>
      </c>
      <c r="E275" s="132">
        <f>(E273)+(E274)</f>
        <v>0</v>
      </c>
      <c r="F275" s="132">
        <f>(F273)+(F274)</f>
        <v>0</v>
      </c>
      <c r="G275" s="132">
        <f t="shared" si="5"/>
        <v>19279.580000000002</v>
      </c>
    </row>
    <row r="276" spans="1:7" x14ac:dyDescent="0.2">
      <c r="A276" s="129" t="s">
        <v>11</v>
      </c>
      <c r="B276" s="132">
        <f>(B264)-(B275)</f>
        <v>15668.56</v>
      </c>
      <c r="C276" s="132">
        <f>(C264)-(C275)</f>
        <v>9968.9799999999959</v>
      </c>
      <c r="D276" s="132">
        <f>(D264)-(D275)</f>
        <v>0</v>
      </c>
      <c r="E276" s="132">
        <f>(E264)-(E275)</f>
        <v>7071.61</v>
      </c>
      <c r="F276" s="132">
        <f>(F264)-(F275)</f>
        <v>0</v>
      </c>
      <c r="G276" s="132">
        <f t="shared" si="5"/>
        <v>32709.149999999994</v>
      </c>
    </row>
    <row r="277" spans="1:7" x14ac:dyDescent="0.2">
      <c r="A277" s="129" t="s">
        <v>4</v>
      </c>
      <c r="B277" s="132">
        <f>(B243)+(B276)</f>
        <v>-30160.469999999972</v>
      </c>
      <c r="C277" s="132">
        <f>(C243)+(C276)</f>
        <v>9968.9799999999959</v>
      </c>
      <c r="D277" s="132">
        <f>(D243)+(D276)</f>
        <v>-7138.3000000000175</v>
      </c>
      <c r="E277" s="132">
        <f>(E243)+(E276)</f>
        <v>-32609.190000000046</v>
      </c>
      <c r="F277" s="132">
        <f>(F243)+(F276)</f>
        <v>0</v>
      </c>
      <c r="G277" s="132">
        <f t="shared" si="5"/>
        <v>-59938.98000000004</v>
      </c>
    </row>
    <row r="278" spans="1:7" x14ac:dyDescent="0.2">
      <c r="A278" s="129"/>
      <c r="B278" s="130"/>
      <c r="C278" s="130"/>
      <c r="D278" s="130"/>
      <c r="E278" s="130"/>
      <c r="F278" s="130"/>
      <c r="G278" s="130"/>
    </row>
    <row r="281" spans="1:7" x14ac:dyDescent="0.2">
      <c r="A281" s="334" t="s">
        <v>2679</v>
      </c>
      <c r="B281" s="335"/>
      <c r="C281" s="335"/>
      <c r="D281" s="335"/>
      <c r="E281" s="335"/>
      <c r="F281" s="335"/>
      <c r="G281" s="335"/>
    </row>
  </sheetData>
  <mergeCells count="4">
    <mergeCell ref="A1:G1"/>
    <mergeCell ref="A2:G2"/>
    <mergeCell ref="A3:G3"/>
    <mergeCell ref="A281:G28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U113"/>
  <sheetViews>
    <sheetView topLeftCell="C1" workbookViewId="0">
      <pane xSplit="1" ySplit="3" topLeftCell="D4" activePane="bottomRight" state="frozen"/>
      <selection activeCell="C1" sqref="C1"/>
      <selection pane="topRight" activeCell="D1" sqref="D1"/>
      <selection pane="bottomLeft" activeCell="C4" sqref="C4"/>
      <selection pane="bottomRight"/>
    </sheetView>
  </sheetViews>
  <sheetFormatPr baseColWidth="10" defaultColWidth="11.83203125" defaultRowHeight="11" x14ac:dyDescent="0.15"/>
  <cols>
    <col min="1" max="1" width="11.83203125" style="34" customWidth="1"/>
    <col min="2" max="2" width="11.1640625" style="34" customWidth="1"/>
    <col min="3" max="3" width="32.33203125" style="34" customWidth="1"/>
    <col min="4" max="6" width="11.83203125" style="23" hidden="1" customWidth="1"/>
    <col min="7" max="8" width="9.6640625" style="23" hidden="1" customWidth="1"/>
    <col min="9" max="9" width="11.83203125" style="23" hidden="1" customWidth="1"/>
    <col min="10" max="10" width="2.6640625" style="23" hidden="1" customWidth="1"/>
    <col min="11" max="11" width="10" style="23" hidden="1" customWidth="1"/>
    <col min="12" max="12" width="9.6640625" style="23" hidden="1" customWidth="1"/>
    <col min="13" max="13" width="8.5" style="23" hidden="1" customWidth="1"/>
    <col min="14" max="14" width="11.83203125" style="23" hidden="1" customWidth="1"/>
    <col min="15" max="15" width="4.6640625" style="23" hidden="1" customWidth="1"/>
    <col min="16" max="16" width="17.6640625" style="23" customWidth="1"/>
    <col min="17" max="18" width="14.5" style="23" customWidth="1"/>
    <col min="19" max="16384" width="11.83203125" style="23"/>
  </cols>
  <sheetData>
    <row r="1" spans="1:255" x14ac:dyDescent="0.15">
      <c r="C1" s="35" t="s">
        <v>64</v>
      </c>
    </row>
    <row r="2" spans="1:255" x14ac:dyDescent="0.15">
      <c r="A2" s="27"/>
      <c r="B2" s="27"/>
      <c r="C2" s="35" t="s">
        <v>65</v>
      </c>
      <c r="D2" s="36" t="s">
        <v>12</v>
      </c>
      <c r="E2" s="27"/>
      <c r="F2" s="342"/>
      <c r="G2" s="343"/>
      <c r="H2" s="343"/>
      <c r="I2" s="37"/>
      <c r="J2" s="27"/>
      <c r="K2" s="342" t="s">
        <v>66</v>
      </c>
      <c r="L2" s="343"/>
      <c r="M2" s="344"/>
      <c r="N2" s="345"/>
      <c r="O2" s="37"/>
      <c r="P2" s="36" t="s">
        <v>12</v>
      </c>
      <c r="Q2" s="37"/>
      <c r="R2" s="37"/>
    </row>
    <row r="3" spans="1:255" ht="36" x14ac:dyDescent="0.15">
      <c r="A3" s="38" t="s">
        <v>67</v>
      </c>
      <c r="B3" s="38" t="s">
        <v>68</v>
      </c>
      <c r="C3" s="39">
        <v>2024</v>
      </c>
      <c r="D3" s="72" t="s">
        <v>1443</v>
      </c>
      <c r="E3" s="40"/>
      <c r="H3" s="21" t="s">
        <v>646</v>
      </c>
      <c r="I3" s="21" t="s">
        <v>647</v>
      </c>
      <c r="J3" s="40"/>
      <c r="K3" s="21"/>
      <c r="L3" s="52" t="s">
        <v>648</v>
      </c>
      <c r="M3" s="41"/>
      <c r="N3" s="42" t="s">
        <v>69</v>
      </c>
      <c r="O3" s="43"/>
      <c r="P3" s="44" t="s">
        <v>2673</v>
      </c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43"/>
      <c r="IT3" s="43"/>
      <c r="IU3" s="43"/>
    </row>
    <row r="4" spans="1:255" x14ac:dyDescent="0.15">
      <c r="A4" s="23"/>
      <c r="B4" s="23"/>
      <c r="C4" s="16"/>
      <c r="D4" s="4"/>
      <c r="E4" s="4"/>
      <c r="F4" s="14"/>
      <c r="G4" s="14"/>
      <c r="H4" s="14"/>
      <c r="I4" s="14"/>
      <c r="J4" s="4"/>
      <c r="K4" s="14"/>
      <c r="L4" s="14"/>
      <c r="M4" s="14"/>
      <c r="N4" s="14"/>
      <c r="O4" s="14"/>
      <c r="P4" s="14"/>
      <c r="Q4" s="14"/>
      <c r="R4" s="14"/>
    </row>
    <row r="5" spans="1:255" x14ac:dyDescent="0.15">
      <c r="A5" s="29"/>
      <c r="B5" s="29"/>
      <c r="C5" s="30" t="s">
        <v>70</v>
      </c>
      <c r="D5" s="31"/>
      <c r="E5" s="31"/>
      <c r="F5" s="15"/>
      <c r="G5" s="15"/>
      <c r="H5" s="15"/>
      <c r="I5" s="15"/>
      <c r="J5" s="31"/>
      <c r="K5" s="15"/>
      <c r="L5" s="15"/>
      <c r="M5" s="15"/>
      <c r="N5" s="15"/>
      <c r="O5" s="15"/>
      <c r="P5" s="15"/>
      <c r="Q5" s="15"/>
      <c r="R5" s="15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</row>
    <row r="6" spans="1:255" x14ac:dyDescent="0.15">
      <c r="A6" s="16"/>
      <c r="B6" s="16"/>
      <c r="C6" s="16"/>
      <c r="D6" s="4"/>
      <c r="E6" s="4"/>
      <c r="F6" s="14"/>
      <c r="G6" s="14"/>
      <c r="H6" s="14"/>
      <c r="I6" s="14"/>
      <c r="J6" s="4"/>
      <c r="K6" s="14"/>
      <c r="L6" s="14"/>
      <c r="M6" s="14"/>
      <c r="N6" s="14"/>
      <c r="O6" s="14"/>
      <c r="P6" s="14"/>
      <c r="Q6" s="14"/>
      <c r="R6" s="14"/>
    </row>
    <row r="7" spans="1:255" x14ac:dyDescent="0.15">
      <c r="A7" s="16"/>
      <c r="B7" s="16"/>
      <c r="C7" s="16"/>
      <c r="D7" s="4"/>
      <c r="E7" s="4"/>
      <c r="F7" s="14"/>
      <c r="G7" s="14"/>
      <c r="H7" s="14"/>
      <c r="I7" s="14"/>
      <c r="J7" s="4"/>
      <c r="K7" s="14"/>
      <c r="M7" s="14"/>
      <c r="N7" s="14"/>
      <c r="O7" s="14"/>
      <c r="P7" s="17"/>
      <c r="Q7" s="14"/>
      <c r="R7" s="14"/>
    </row>
    <row r="8" spans="1:255" x14ac:dyDescent="0.15">
      <c r="B8" s="16" t="s">
        <v>580</v>
      </c>
      <c r="C8" s="16" t="s">
        <v>496</v>
      </c>
      <c r="D8" s="4">
        <v>11760.93</v>
      </c>
      <c r="E8" s="4">
        <f>D8</f>
        <v>11760.93</v>
      </c>
      <c r="F8" s="14"/>
      <c r="G8" s="14"/>
      <c r="H8" s="14"/>
      <c r="I8" s="14"/>
      <c r="J8" s="4"/>
      <c r="K8" s="14"/>
      <c r="L8" s="14"/>
      <c r="M8" s="14"/>
      <c r="N8" s="14"/>
      <c r="O8" s="14"/>
      <c r="P8" s="17">
        <f>D8+H8-L8</f>
        <v>11760.93</v>
      </c>
      <c r="Q8" s="14" t="s">
        <v>800</v>
      </c>
      <c r="R8" s="14"/>
    </row>
    <row r="9" spans="1:255" x14ac:dyDescent="0.15">
      <c r="B9" s="16"/>
      <c r="C9" s="16"/>
      <c r="D9" s="4"/>
      <c r="E9" s="4"/>
      <c r="F9" s="14"/>
      <c r="G9" s="14"/>
      <c r="H9" s="14"/>
      <c r="I9" s="14"/>
      <c r="J9" s="4"/>
      <c r="K9" s="14"/>
      <c r="L9" s="14"/>
      <c r="M9" s="14"/>
      <c r="N9" s="14"/>
      <c r="O9" s="14"/>
      <c r="P9" s="17"/>
      <c r="Q9" s="14"/>
      <c r="R9" s="14"/>
    </row>
    <row r="10" spans="1:255" x14ac:dyDescent="0.15">
      <c r="A10" s="16" t="s">
        <v>760</v>
      </c>
      <c r="B10" s="16" t="s">
        <v>581</v>
      </c>
      <c r="C10" s="16" t="s">
        <v>508</v>
      </c>
      <c r="D10" s="4">
        <v>0</v>
      </c>
      <c r="E10" s="4"/>
      <c r="F10" s="14"/>
      <c r="G10" s="14"/>
      <c r="H10" s="14"/>
      <c r="I10" s="14"/>
      <c r="J10" s="4"/>
      <c r="K10" s="14"/>
      <c r="L10" s="14">
        <v>9100</v>
      </c>
      <c r="M10" s="14"/>
      <c r="N10" s="14"/>
      <c r="O10" s="14"/>
      <c r="P10" s="17"/>
      <c r="Q10" s="14"/>
      <c r="R10" s="14"/>
    </row>
    <row r="11" spans="1:255" x14ac:dyDescent="0.15">
      <c r="A11" s="16" t="s">
        <v>760</v>
      </c>
      <c r="B11" s="22"/>
      <c r="C11" s="16" t="s">
        <v>761</v>
      </c>
      <c r="D11" s="4">
        <v>5755</v>
      </c>
      <c r="E11" s="4"/>
      <c r="F11" s="14"/>
      <c r="G11" s="14"/>
      <c r="H11" s="14"/>
      <c r="I11" s="14"/>
      <c r="J11" s="4"/>
      <c r="K11" s="14"/>
      <c r="M11" s="14"/>
      <c r="N11" s="14"/>
      <c r="O11" s="14"/>
      <c r="P11" s="17"/>
      <c r="Q11" s="14"/>
      <c r="R11" s="14"/>
    </row>
    <row r="12" spans="1:255" x14ac:dyDescent="0.15">
      <c r="A12" s="16"/>
      <c r="B12" s="22"/>
      <c r="C12" s="16" t="s">
        <v>508</v>
      </c>
      <c r="D12" s="4">
        <v>6082.36</v>
      </c>
      <c r="E12" s="4"/>
      <c r="F12" s="14"/>
      <c r="G12" s="14"/>
      <c r="H12" s="14"/>
      <c r="I12" s="14"/>
      <c r="J12" s="4"/>
      <c r="K12" s="14"/>
      <c r="M12" s="14"/>
      <c r="N12" s="14"/>
      <c r="O12" s="14"/>
      <c r="P12" s="17"/>
      <c r="Q12" s="14"/>
      <c r="R12" s="14"/>
    </row>
    <row r="13" spans="1:255" x14ac:dyDescent="0.15">
      <c r="A13" s="16" t="s">
        <v>738</v>
      </c>
      <c r="B13" s="22"/>
      <c r="C13" s="93" t="s">
        <v>739</v>
      </c>
      <c r="D13" s="94"/>
      <c r="E13" s="94"/>
      <c r="F13" s="24"/>
      <c r="G13" s="24"/>
      <c r="H13" s="24"/>
      <c r="I13" s="95"/>
      <c r="J13" s="94"/>
      <c r="K13" s="24"/>
      <c r="L13" s="24"/>
      <c r="M13" s="24"/>
      <c r="N13" s="24"/>
      <c r="O13" s="24"/>
      <c r="P13" s="96"/>
      <c r="Q13" s="14"/>
      <c r="R13" s="14"/>
    </row>
    <row r="14" spans="1:255" x14ac:dyDescent="0.15">
      <c r="A14" s="16"/>
      <c r="B14" s="16"/>
      <c r="C14" s="16" t="s">
        <v>777</v>
      </c>
      <c r="D14" s="85">
        <f>SUM(D10:D12)</f>
        <v>11837.36</v>
      </c>
      <c r="E14" s="4">
        <f>D14</f>
        <v>11837.36</v>
      </c>
      <c r="F14" s="14"/>
      <c r="G14" s="14"/>
      <c r="H14" s="14"/>
      <c r="I14" s="14">
        <f>SUM(H11:H13)</f>
        <v>0</v>
      </c>
      <c r="J14" s="4"/>
      <c r="K14" s="14"/>
      <c r="L14" s="14">
        <f>SUM(L10:L13)</f>
        <v>9100</v>
      </c>
      <c r="M14" s="14">
        <f>SUM(L13)</f>
        <v>0</v>
      </c>
      <c r="N14" s="14"/>
      <c r="O14" s="14"/>
      <c r="P14" s="17">
        <f>SUM(E14-L14)</f>
        <v>2737.3600000000006</v>
      </c>
      <c r="Q14" s="14"/>
      <c r="R14" s="14"/>
    </row>
    <row r="15" spans="1:255" x14ac:dyDescent="0.15">
      <c r="A15" s="16"/>
      <c r="B15" s="16"/>
      <c r="C15" s="16"/>
      <c r="D15" s="4"/>
      <c r="E15" s="4"/>
      <c r="F15" s="14"/>
      <c r="G15" s="14"/>
      <c r="H15" s="14"/>
      <c r="I15" s="14"/>
      <c r="J15" s="4"/>
      <c r="K15" s="14"/>
      <c r="L15" s="14"/>
      <c r="M15" s="14"/>
      <c r="N15" s="14"/>
      <c r="O15" s="14"/>
      <c r="P15" s="17"/>
      <c r="Q15" s="14"/>
      <c r="R15" s="14"/>
    </row>
    <row r="16" spans="1:255" x14ac:dyDescent="0.15">
      <c r="A16" s="16"/>
      <c r="B16" s="16"/>
      <c r="C16" s="16"/>
      <c r="D16" s="4"/>
      <c r="E16" s="4"/>
      <c r="F16" s="14"/>
      <c r="G16" s="14"/>
      <c r="H16" s="14"/>
      <c r="I16" s="14"/>
      <c r="J16" s="4"/>
      <c r="K16" s="14"/>
      <c r="L16" s="14"/>
      <c r="M16" s="14"/>
      <c r="N16" s="14"/>
      <c r="O16" s="14"/>
      <c r="P16" s="17"/>
      <c r="Q16" s="14"/>
      <c r="R16" s="14"/>
    </row>
    <row r="18" spans="1:255" x14ac:dyDescent="0.15">
      <c r="A18" s="16"/>
      <c r="B18" s="16"/>
      <c r="C18" s="16"/>
      <c r="D18" s="4"/>
      <c r="E18" s="4"/>
      <c r="F18" s="14"/>
      <c r="G18" s="14"/>
      <c r="H18" s="14"/>
      <c r="I18" s="14"/>
      <c r="J18" s="4"/>
      <c r="K18" s="14"/>
      <c r="L18" s="14"/>
      <c r="M18" s="14"/>
      <c r="N18" s="14"/>
      <c r="O18" s="14"/>
      <c r="P18" s="17"/>
      <c r="Q18" s="14"/>
      <c r="R18" s="14"/>
    </row>
    <row r="19" spans="1:255" x14ac:dyDescent="0.15">
      <c r="M19" s="14"/>
    </row>
    <row r="20" spans="1:255" x14ac:dyDescent="0.15">
      <c r="A20" s="16"/>
      <c r="B20" s="16"/>
      <c r="C20" s="16" t="s">
        <v>661</v>
      </c>
      <c r="D20" s="4">
        <v>2000</v>
      </c>
      <c r="E20" s="4"/>
      <c r="F20" s="14"/>
      <c r="G20" s="14"/>
      <c r="H20" s="14"/>
      <c r="I20" s="14"/>
      <c r="J20" s="4"/>
      <c r="K20" s="14"/>
      <c r="L20" s="14"/>
      <c r="M20" s="14"/>
      <c r="N20" s="14"/>
      <c r="O20" s="14"/>
      <c r="P20" s="17">
        <f>D20+H20-L20</f>
        <v>2000</v>
      </c>
      <c r="Q20" s="14"/>
      <c r="R20" s="14" t="s">
        <v>800</v>
      </c>
    </row>
    <row r="21" spans="1:255" ht="12" thickBot="1" x14ac:dyDescent="0.2">
      <c r="A21" s="16" t="s">
        <v>88</v>
      </c>
      <c r="B21" s="34" t="s">
        <v>89</v>
      </c>
      <c r="C21" s="19" t="s">
        <v>71</v>
      </c>
      <c r="D21" s="25">
        <v>948.08</v>
      </c>
      <c r="E21" s="25"/>
      <c r="F21" s="20"/>
      <c r="G21" s="20"/>
      <c r="H21" s="20"/>
      <c r="I21" s="20"/>
      <c r="J21" s="25"/>
      <c r="K21" s="20"/>
      <c r="L21" s="20"/>
      <c r="M21" s="20"/>
      <c r="N21" s="20"/>
      <c r="O21" s="20"/>
      <c r="P21" s="58">
        <f>D21+I21-L21</f>
        <v>948.08</v>
      </c>
      <c r="Q21" s="20"/>
      <c r="R21" s="14" t="s">
        <v>800</v>
      </c>
    </row>
    <row r="22" spans="1:255" x14ac:dyDescent="0.15">
      <c r="A22" s="23"/>
      <c r="B22" s="23"/>
      <c r="C22" s="26" t="s">
        <v>498</v>
      </c>
      <c r="D22" s="4"/>
      <c r="E22" s="4">
        <f>SUM(D20:D21)</f>
        <v>2948.08</v>
      </c>
      <c r="F22" s="14">
        <f>SUM(E6:E22)</f>
        <v>26546.370000000003</v>
      </c>
      <c r="G22" s="14"/>
      <c r="H22" s="14"/>
      <c r="I22" s="14"/>
      <c r="J22" s="4"/>
      <c r="K22" s="14"/>
      <c r="L22" s="14"/>
      <c r="M22" s="21"/>
      <c r="N22" s="14"/>
      <c r="O22" s="14"/>
      <c r="P22" s="14"/>
      <c r="Q22" s="14">
        <f>SUM(P8:P21)</f>
        <v>17446.370000000003</v>
      </c>
      <c r="R22" s="14"/>
      <c r="S22" s="48"/>
      <c r="T22" s="45"/>
    </row>
    <row r="23" spans="1:255" ht="12" thickBot="1" x14ac:dyDescent="0.2">
      <c r="A23" s="23"/>
      <c r="B23" s="23"/>
      <c r="C23" s="16"/>
      <c r="D23" s="4"/>
      <c r="E23" s="4"/>
      <c r="F23" s="14"/>
      <c r="G23" s="14"/>
      <c r="H23" s="14"/>
      <c r="I23" s="14"/>
      <c r="J23" s="4"/>
      <c r="K23" s="14"/>
      <c r="L23" s="14"/>
      <c r="M23" s="14"/>
      <c r="N23" s="14"/>
      <c r="O23" s="14"/>
      <c r="P23" s="14"/>
      <c r="Q23" s="14"/>
      <c r="R23" s="14"/>
    </row>
    <row r="24" spans="1:255" ht="12" thickBot="1" x14ac:dyDescent="0.2">
      <c r="A24" s="29"/>
      <c r="B24" s="29"/>
      <c r="C24" s="97" t="s">
        <v>544</v>
      </c>
      <c r="D24" s="31"/>
      <c r="E24" s="31"/>
      <c r="F24" s="15"/>
      <c r="G24" s="15"/>
      <c r="H24" s="15"/>
      <c r="I24" s="15"/>
      <c r="J24" s="31"/>
      <c r="K24" s="15"/>
      <c r="L24" s="15"/>
      <c r="M24" s="15"/>
      <c r="N24" s="15"/>
      <c r="O24" s="15"/>
      <c r="P24" s="15"/>
      <c r="Q24" s="15"/>
      <c r="R24" s="15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  <c r="IU24" s="29"/>
    </row>
    <row r="25" spans="1:255" ht="12" thickBot="1" x14ac:dyDescent="0.2">
      <c r="A25" s="16"/>
      <c r="B25" s="22"/>
      <c r="C25" s="18"/>
      <c r="D25" s="4"/>
      <c r="E25" s="4"/>
      <c r="F25" s="14"/>
      <c r="G25" s="14"/>
      <c r="H25" s="14"/>
      <c r="I25" s="14"/>
      <c r="J25" s="4"/>
      <c r="K25" s="14"/>
      <c r="L25" s="14"/>
      <c r="N25" s="14"/>
      <c r="O25" s="14"/>
      <c r="P25" s="17"/>
      <c r="Q25" s="14"/>
      <c r="R25" s="14"/>
    </row>
    <row r="26" spans="1:255" ht="12" x14ac:dyDescent="0.15">
      <c r="A26" s="16"/>
      <c r="B26" s="22"/>
      <c r="C26" s="18" t="s">
        <v>1128</v>
      </c>
      <c r="D26" s="4">
        <v>0</v>
      </c>
      <c r="E26" s="4"/>
      <c r="F26" s="14"/>
      <c r="G26" s="14"/>
      <c r="H26" s="14">
        <v>203.6</v>
      </c>
      <c r="I26" s="14"/>
      <c r="J26" s="4"/>
      <c r="K26" s="14"/>
      <c r="L26" s="14"/>
      <c r="N26" s="14"/>
      <c r="O26" s="14"/>
      <c r="P26" s="101">
        <f>D26+H26-L26</f>
        <v>203.6</v>
      </c>
      <c r="Q26" s="102"/>
      <c r="R26" s="14"/>
    </row>
    <row r="27" spans="1:255" x14ac:dyDescent="0.15">
      <c r="A27" s="16"/>
      <c r="B27" s="22"/>
      <c r="C27" s="16" t="s">
        <v>571</v>
      </c>
      <c r="D27" s="4">
        <v>0</v>
      </c>
      <c r="E27" s="4"/>
      <c r="F27" s="14"/>
      <c r="G27" s="14"/>
      <c r="H27" s="14"/>
      <c r="I27" s="46"/>
      <c r="J27" s="4"/>
      <c r="K27" s="14"/>
      <c r="M27" s="14"/>
      <c r="N27" s="14"/>
      <c r="O27" s="14"/>
      <c r="P27" s="103"/>
      <c r="Q27" s="63"/>
      <c r="R27" s="14"/>
    </row>
    <row r="28" spans="1:255" x14ac:dyDescent="0.15">
      <c r="A28" s="16"/>
      <c r="B28" s="22"/>
      <c r="C28" s="16"/>
      <c r="D28" s="4"/>
      <c r="E28" s="4"/>
      <c r="F28" s="14"/>
      <c r="G28" s="14"/>
      <c r="H28" s="14"/>
      <c r="I28" s="14"/>
      <c r="J28" s="4"/>
      <c r="K28" s="14"/>
      <c r="L28" s="14"/>
      <c r="M28" s="14"/>
      <c r="N28" s="14"/>
      <c r="O28" s="14"/>
      <c r="P28" s="103"/>
      <c r="Q28" s="63"/>
      <c r="R28" s="14"/>
    </row>
    <row r="29" spans="1:255" ht="11.5" customHeight="1" x14ac:dyDescent="0.15">
      <c r="A29" s="16" t="s">
        <v>702</v>
      </c>
      <c r="B29" s="22" t="s">
        <v>703</v>
      </c>
      <c r="C29" s="16" t="s">
        <v>670</v>
      </c>
      <c r="D29" s="4">
        <v>1806.32</v>
      </c>
      <c r="E29" s="4">
        <f>SUM(D26:D29)</f>
        <v>1806.32</v>
      </c>
      <c r="F29" s="14"/>
      <c r="G29" s="14"/>
      <c r="H29" s="14"/>
      <c r="I29" s="14"/>
      <c r="J29" s="4"/>
      <c r="K29" s="14"/>
      <c r="L29" s="14"/>
      <c r="M29" s="14"/>
      <c r="N29" s="14"/>
      <c r="O29" s="14"/>
      <c r="P29" s="103">
        <f>D29+H29-L29</f>
        <v>1806.32</v>
      </c>
      <c r="Q29" s="63"/>
      <c r="R29" s="14"/>
    </row>
    <row r="30" spans="1:255" ht="11.5" customHeight="1" x14ac:dyDescent="0.15">
      <c r="A30" s="16"/>
      <c r="B30" s="22"/>
      <c r="C30" s="16"/>
      <c r="D30" s="4"/>
      <c r="E30" s="4"/>
      <c r="F30" s="14"/>
      <c r="G30" s="14"/>
      <c r="H30" s="14"/>
      <c r="I30" s="14"/>
      <c r="J30" s="4"/>
      <c r="K30" s="14"/>
      <c r="L30" s="14"/>
      <c r="M30" s="14"/>
      <c r="N30" s="14"/>
      <c r="O30" s="14"/>
      <c r="P30" s="103"/>
      <c r="Q30" s="63"/>
      <c r="R30" s="14"/>
    </row>
    <row r="31" spans="1:255" x14ac:dyDescent="0.15">
      <c r="C31" s="34" t="s">
        <v>1264</v>
      </c>
      <c r="D31" s="14">
        <v>50000</v>
      </c>
      <c r="E31" s="14">
        <f>D31</f>
        <v>50000</v>
      </c>
      <c r="F31" s="14"/>
      <c r="H31" s="14">
        <v>15400</v>
      </c>
      <c r="I31" s="14"/>
      <c r="M31" s="14">
        <f>SUM(L29:L29)</f>
        <v>0</v>
      </c>
      <c r="P31" s="103">
        <f>D31+H31-L31</f>
        <v>65400</v>
      </c>
      <c r="Q31" s="67"/>
    </row>
    <row r="32" spans="1:255" x14ac:dyDescent="0.15">
      <c r="C32" s="34" t="s">
        <v>508</v>
      </c>
      <c r="D32" s="14"/>
      <c r="E32" s="14"/>
      <c r="F32" s="14"/>
      <c r="H32" s="14">
        <v>5000</v>
      </c>
      <c r="I32" s="14"/>
      <c r="M32" s="14"/>
      <c r="P32" s="103">
        <f>D32+H32-L32</f>
        <v>5000</v>
      </c>
      <c r="Q32" s="67"/>
    </row>
    <row r="33" spans="1:21" x14ac:dyDescent="0.15">
      <c r="H33" s="14"/>
      <c r="I33" s="14"/>
      <c r="M33" s="14"/>
      <c r="P33" s="68"/>
      <c r="Q33" s="67"/>
    </row>
    <row r="34" spans="1:21" x14ac:dyDescent="0.15">
      <c r="A34" s="16" t="s">
        <v>711</v>
      </c>
      <c r="B34" s="22" t="s">
        <v>712</v>
      </c>
      <c r="C34" s="16" t="s">
        <v>713</v>
      </c>
      <c r="D34" s="4">
        <v>1086.0899999999999</v>
      </c>
      <c r="E34" s="4"/>
      <c r="F34" s="14">
        <v>5164</v>
      </c>
      <c r="G34" s="14"/>
      <c r="I34" s="14"/>
      <c r="J34" s="4"/>
      <c r="K34" s="14"/>
      <c r="L34" s="14">
        <v>5164</v>
      </c>
      <c r="M34" s="14"/>
      <c r="N34" s="14"/>
      <c r="O34" s="14"/>
      <c r="P34" s="103">
        <f>D34+F34-L34</f>
        <v>1086.0900000000001</v>
      </c>
      <c r="Q34" s="63"/>
      <c r="R34" s="14"/>
    </row>
    <row r="35" spans="1:21" x14ac:dyDescent="0.15">
      <c r="A35" s="16" t="s">
        <v>710</v>
      </c>
      <c r="B35" s="22" t="s">
        <v>705</v>
      </c>
      <c r="C35" s="16" t="s">
        <v>699</v>
      </c>
      <c r="D35" s="4"/>
      <c r="E35" s="4"/>
      <c r="F35" s="14"/>
      <c r="G35" s="14"/>
      <c r="H35" s="14"/>
      <c r="I35" s="14"/>
      <c r="J35" s="4"/>
      <c r="K35" s="14"/>
      <c r="L35" s="14"/>
      <c r="M35" s="14"/>
      <c r="N35" s="46"/>
      <c r="O35" s="14"/>
      <c r="P35" s="103">
        <f>D35+H35+I35-L35+N35</f>
        <v>0</v>
      </c>
      <c r="Q35" s="63"/>
      <c r="R35" s="14"/>
    </row>
    <row r="36" spans="1:21" x14ac:dyDescent="0.15">
      <c r="A36" s="16" t="s">
        <v>82</v>
      </c>
      <c r="B36" s="16" t="s">
        <v>704</v>
      </c>
      <c r="C36" s="16" t="s">
        <v>157</v>
      </c>
      <c r="D36" s="24">
        <v>180.43</v>
      </c>
      <c r="E36" s="24"/>
      <c r="F36" s="14"/>
      <c r="G36" s="14"/>
      <c r="H36" s="14"/>
      <c r="J36" s="14"/>
      <c r="K36" s="14"/>
      <c r="L36" s="14"/>
      <c r="N36" s="14"/>
      <c r="O36" s="14"/>
      <c r="P36" s="103">
        <f>D36+H36-L36</f>
        <v>180.43</v>
      </c>
      <c r="Q36" s="63"/>
      <c r="R36" s="14"/>
    </row>
    <row r="37" spans="1:21" ht="12" thickBot="1" x14ac:dyDescent="0.2">
      <c r="A37" s="16"/>
      <c r="B37" s="22"/>
      <c r="C37" s="16"/>
      <c r="D37" s="4"/>
      <c r="E37" s="4">
        <f>SUM(D34:D36)</f>
        <v>1266.52</v>
      </c>
      <c r="F37" s="24"/>
      <c r="G37" s="14"/>
      <c r="H37" s="14"/>
      <c r="I37" s="14"/>
      <c r="J37" s="4"/>
      <c r="K37" s="14"/>
      <c r="L37" s="14"/>
      <c r="M37" s="14"/>
      <c r="N37" s="14"/>
      <c r="O37" s="14"/>
      <c r="P37" s="104">
        <f>D37+H37-L37</f>
        <v>0</v>
      </c>
      <c r="Q37" s="65"/>
      <c r="R37" s="14"/>
    </row>
    <row r="38" spans="1:21" x14ac:dyDescent="0.15">
      <c r="A38" s="16"/>
      <c r="B38" s="22"/>
      <c r="C38" s="16"/>
      <c r="D38" s="4"/>
      <c r="E38" s="4"/>
      <c r="F38" s="14"/>
      <c r="G38" s="14"/>
      <c r="H38" s="14"/>
      <c r="I38" s="14"/>
      <c r="J38" s="4"/>
      <c r="K38" s="14"/>
      <c r="L38" s="14"/>
      <c r="M38" s="14"/>
      <c r="N38" s="14"/>
      <c r="O38" s="14"/>
      <c r="P38" s="125"/>
      <c r="Q38" s="126">
        <f>SUM(P26:P37)</f>
        <v>73676.439999999988</v>
      </c>
      <c r="R38" s="127">
        <f>Q38</f>
        <v>73676.439999999988</v>
      </c>
    </row>
    <row r="39" spans="1:21" x14ac:dyDescent="0.15">
      <c r="H39" s="14"/>
      <c r="P39" s="68"/>
      <c r="Q39" s="67"/>
    </row>
    <row r="40" spans="1:21" ht="12" thickBot="1" x14ac:dyDescent="0.2">
      <c r="A40" s="16"/>
      <c r="B40" s="22"/>
      <c r="C40" s="16"/>
      <c r="D40" s="4"/>
      <c r="E40" s="4"/>
      <c r="F40" s="14"/>
      <c r="G40" s="14"/>
      <c r="H40" s="14"/>
      <c r="I40" s="14"/>
      <c r="J40" s="4"/>
      <c r="K40" s="14"/>
      <c r="L40" s="14"/>
      <c r="M40" s="14"/>
      <c r="N40" s="14"/>
      <c r="O40" s="14"/>
      <c r="P40" s="105"/>
      <c r="Q40" s="67"/>
    </row>
    <row r="41" spans="1:21" ht="12" thickBot="1" x14ac:dyDescent="0.2">
      <c r="A41" s="16"/>
      <c r="B41" s="22"/>
      <c r="C41" s="97" t="s">
        <v>543</v>
      </c>
      <c r="D41" s="4"/>
      <c r="E41" s="4"/>
      <c r="F41" s="14"/>
      <c r="G41" s="14"/>
      <c r="H41" s="14"/>
      <c r="I41" s="14"/>
      <c r="J41" s="4"/>
      <c r="K41" s="14"/>
      <c r="L41" s="14"/>
      <c r="M41" s="14"/>
      <c r="N41" s="14"/>
      <c r="O41" s="14"/>
      <c r="P41" s="105"/>
      <c r="Q41" s="63"/>
      <c r="R41" s="14"/>
      <c r="U41" s="14"/>
    </row>
    <row r="42" spans="1:21" x14ac:dyDescent="0.15">
      <c r="A42" s="16"/>
      <c r="B42" s="16"/>
      <c r="C42" s="16"/>
      <c r="D42" s="4"/>
      <c r="E42" s="4"/>
      <c r="F42" s="14"/>
      <c r="G42" s="14"/>
      <c r="H42" s="14"/>
      <c r="I42" s="14"/>
      <c r="J42" s="4"/>
      <c r="K42" s="14"/>
      <c r="L42" s="14"/>
      <c r="M42" s="14"/>
      <c r="N42" s="14"/>
      <c r="O42" s="14"/>
      <c r="P42" s="103"/>
      <c r="Q42" s="63"/>
      <c r="R42" s="14"/>
    </row>
    <row r="43" spans="1:21" x14ac:dyDescent="0.15">
      <c r="A43" s="16" t="s">
        <v>783</v>
      </c>
      <c r="B43" s="16"/>
      <c r="C43" s="16" t="s">
        <v>784</v>
      </c>
      <c r="D43" s="4">
        <v>50000</v>
      </c>
      <c r="E43" s="4">
        <f>D43</f>
        <v>50000</v>
      </c>
      <c r="F43" s="14"/>
      <c r="G43" s="14"/>
      <c r="H43" s="14"/>
      <c r="I43" s="14"/>
      <c r="J43" s="4"/>
      <c r="K43" s="14"/>
      <c r="L43" s="14"/>
      <c r="M43" s="14"/>
      <c r="N43" s="14"/>
      <c r="O43" s="14"/>
      <c r="P43" s="17">
        <f>D43+H43+I43-L43</f>
        <v>50000</v>
      </c>
      <c r="Q43" s="14"/>
      <c r="R43" s="14" t="s">
        <v>800</v>
      </c>
    </row>
    <row r="44" spans="1:21" x14ac:dyDescent="0.15">
      <c r="H44" s="14"/>
      <c r="P44" s="17"/>
      <c r="Q44" s="67"/>
    </row>
    <row r="45" spans="1:21" x14ac:dyDescent="0.15">
      <c r="A45" s="16" t="s">
        <v>85</v>
      </c>
      <c r="B45" s="16" t="s">
        <v>86</v>
      </c>
      <c r="C45" s="16" t="s">
        <v>84</v>
      </c>
      <c r="D45" s="4">
        <v>4250.1499999999996</v>
      </c>
      <c r="E45" s="4"/>
      <c r="F45" s="14"/>
      <c r="G45" s="14"/>
      <c r="H45" s="14">
        <v>7860.04</v>
      </c>
      <c r="I45" s="14"/>
      <c r="J45" s="4"/>
      <c r="K45" s="14"/>
      <c r="L45" s="14">
        <v>3000</v>
      </c>
      <c r="M45" s="14"/>
      <c r="N45" s="14"/>
      <c r="O45" s="14"/>
      <c r="P45" s="103">
        <f>D45+H45-L45+N45</f>
        <v>9110.1899999999987</v>
      </c>
      <c r="Q45" s="63"/>
      <c r="R45" s="14"/>
    </row>
    <row r="46" spans="1:21" x14ac:dyDescent="0.15">
      <c r="A46" s="16" t="s">
        <v>150</v>
      </c>
      <c r="B46" s="16" t="s">
        <v>78</v>
      </c>
      <c r="C46" s="16" t="s">
        <v>79</v>
      </c>
      <c r="D46" s="4">
        <v>4188.4799999999996</v>
      </c>
      <c r="E46" s="4"/>
      <c r="F46" s="14"/>
      <c r="G46" s="14"/>
      <c r="H46" s="14"/>
      <c r="I46" s="14"/>
      <c r="J46" s="4"/>
      <c r="K46" s="14"/>
      <c r="L46" s="14">
        <v>500</v>
      </c>
      <c r="M46" s="14"/>
      <c r="N46" s="14"/>
      <c r="O46" s="14"/>
      <c r="P46" s="103">
        <f>D46+H46-L46</f>
        <v>3688.4799999999996</v>
      </c>
      <c r="Q46" s="63"/>
      <c r="R46" s="14"/>
    </row>
    <row r="47" spans="1:21" x14ac:dyDescent="0.15">
      <c r="A47" s="16" t="s">
        <v>708</v>
      </c>
      <c r="B47" s="16"/>
      <c r="C47" s="16" t="s">
        <v>671</v>
      </c>
      <c r="D47" s="4">
        <v>119</v>
      </c>
      <c r="E47" s="4"/>
      <c r="F47" s="14"/>
      <c r="G47" s="14"/>
      <c r="H47" s="14"/>
      <c r="I47" s="14"/>
      <c r="J47" s="4"/>
      <c r="K47" s="14"/>
      <c r="L47" s="14"/>
      <c r="M47" s="14"/>
      <c r="N47" s="14"/>
      <c r="O47" s="14"/>
      <c r="P47" s="103">
        <f>D47+H47-L47</f>
        <v>119</v>
      </c>
      <c r="Q47" s="63"/>
      <c r="R47" s="14"/>
    </row>
    <row r="48" spans="1:21" x14ac:dyDescent="0.15">
      <c r="A48" s="16" t="s">
        <v>2333</v>
      </c>
      <c r="B48" s="16"/>
      <c r="C48" s="16" t="s">
        <v>2334</v>
      </c>
      <c r="D48" s="4"/>
      <c r="E48" s="4"/>
      <c r="F48" s="14"/>
      <c r="G48" s="14"/>
      <c r="H48" s="14">
        <v>150</v>
      </c>
      <c r="I48" s="14"/>
      <c r="J48" s="4"/>
      <c r="K48" s="14"/>
      <c r="L48" s="14"/>
      <c r="M48" s="14"/>
      <c r="N48" s="14"/>
      <c r="O48" s="14"/>
      <c r="P48" s="103"/>
      <c r="Q48" s="63"/>
      <c r="R48" s="14"/>
    </row>
    <row r="49" spans="1:21" x14ac:dyDescent="0.15">
      <c r="A49" s="16" t="s">
        <v>154</v>
      </c>
      <c r="B49" s="16" t="s">
        <v>80</v>
      </c>
      <c r="C49" s="16" t="s">
        <v>541</v>
      </c>
      <c r="D49" s="4">
        <v>5575.67</v>
      </c>
      <c r="E49" s="4"/>
      <c r="F49" s="14"/>
      <c r="G49" s="14"/>
      <c r="H49" s="14"/>
      <c r="I49" s="14"/>
      <c r="J49" s="4"/>
      <c r="K49" s="14"/>
      <c r="L49" s="14"/>
      <c r="M49" s="14"/>
      <c r="N49" s="14"/>
      <c r="O49" s="14"/>
      <c r="P49" s="103">
        <f>D49+H49-L49</f>
        <v>5575.67</v>
      </c>
      <c r="Q49" s="63"/>
      <c r="R49" s="14"/>
    </row>
    <row r="50" spans="1:21" ht="12" thickBot="1" x14ac:dyDescent="0.2">
      <c r="A50" s="16" t="s">
        <v>77</v>
      </c>
      <c r="B50" s="16" t="s">
        <v>78</v>
      </c>
      <c r="C50" s="16" t="s">
        <v>612</v>
      </c>
      <c r="D50" s="25">
        <v>7625.26</v>
      </c>
      <c r="E50" s="25"/>
      <c r="F50" s="14"/>
      <c r="G50" s="14"/>
      <c r="H50" s="14"/>
      <c r="I50" s="14"/>
      <c r="J50" s="4"/>
      <c r="K50" s="14"/>
      <c r="L50" s="14"/>
      <c r="M50" s="14"/>
      <c r="N50" s="14"/>
      <c r="O50" s="14"/>
      <c r="P50" s="103">
        <f>D50+H50-L50</f>
        <v>7625.26</v>
      </c>
      <c r="Q50" s="63"/>
      <c r="R50" s="14"/>
    </row>
    <row r="51" spans="1:21" x14ac:dyDescent="0.15">
      <c r="E51" s="14">
        <f>SUM(D45:D50)</f>
        <v>21758.559999999998</v>
      </c>
      <c r="F51" s="14"/>
      <c r="H51" s="14"/>
      <c r="P51" s="68"/>
      <c r="Q51" s="67"/>
    </row>
    <row r="52" spans="1:21" x14ac:dyDescent="0.15">
      <c r="A52" s="16" t="s">
        <v>83</v>
      </c>
      <c r="B52" s="16" t="s">
        <v>658</v>
      </c>
      <c r="C52" s="16" t="s">
        <v>147</v>
      </c>
      <c r="D52" s="4">
        <v>1191.6600000000001</v>
      </c>
      <c r="E52" s="4"/>
      <c r="F52" s="14"/>
      <c r="G52" s="14"/>
      <c r="H52" s="14">
        <v>323.92</v>
      </c>
      <c r="I52" s="14"/>
      <c r="J52" s="4"/>
      <c r="K52" s="14"/>
      <c r="L52" s="14">
        <v>1515.58</v>
      </c>
      <c r="M52" s="14"/>
      <c r="N52" s="14"/>
      <c r="O52" s="14"/>
      <c r="P52" s="103">
        <f>D52+H52-L52</f>
        <v>0</v>
      </c>
      <c r="Q52" s="63"/>
      <c r="R52" s="14"/>
    </row>
    <row r="53" spans="1:21" x14ac:dyDescent="0.15">
      <c r="A53" s="16" t="s">
        <v>72</v>
      </c>
      <c r="B53" s="16" t="s">
        <v>73</v>
      </c>
      <c r="C53" s="16" t="s">
        <v>74</v>
      </c>
      <c r="D53" s="14">
        <v>10564.96</v>
      </c>
      <c r="E53" s="14"/>
      <c r="F53" s="14"/>
      <c r="G53" s="14"/>
      <c r="H53" s="14">
        <v>311</v>
      </c>
      <c r="I53" s="14"/>
      <c r="J53" s="14"/>
      <c r="K53" s="14"/>
      <c r="L53" s="14"/>
      <c r="M53" s="14"/>
      <c r="N53" s="14"/>
      <c r="O53" s="14"/>
      <c r="P53" s="103">
        <f>D53+H53-L53</f>
        <v>10875.96</v>
      </c>
      <c r="Q53" s="63"/>
      <c r="R53" s="14"/>
    </row>
    <row r="54" spans="1:21" x14ac:dyDescent="0.15">
      <c r="A54" s="16" t="s">
        <v>75</v>
      </c>
      <c r="B54" s="16" t="s">
        <v>76</v>
      </c>
      <c r="C54" s="16" t="s">
        <v>155</v>
      </c>
      <c r="D54" s="4">
        <v>1200.28</v>
      </c>
      <c r="E54" s="4"/>
      <c r="F54" s="14"/>
      <c r="G54" s="14"/>
      <c r="H54" s="14"/>
      <c r="I54" s="14"/>
      <c r="J54" s="4"/>
      <c r="K54" s="14"/>
      <c r="L54" s="14"/>
      <c r="M54" s="14"/>
      <c r="N54" s="14"/>
      <c r="O54" s="14"/>
      <c r="P54" s="103">
        <f>D54+H54-L54</f>
        <v>1200.28</v>
      </c>
      <c r="Q54" s="63"/>
      <c r="R54" s="14"/>
    </row>
    <row r="55" spans="1:21" x14ac:dyDescent="0.15">
      <c r="A55" s="16" t="s">
        <v>707</v>
      </c>
      <c r="B55" s="16" t="s">
        <v>706</v>
      </c>
      <c r="C55" s="16" t="s">
        <v>81</v>
      </c>
      <c r="D55" s="4">
        <v>2631.45</v>
      </c>
      <c r="E55" s="4"/>
      <c r="F55" s="14"/>
      <c r="G55" s="14"/>
      <c r="H55" s="14"/>
      <c r="I55" s="14"/>
      <c r="J55" s="4"/>
      <c r="K55" s="14"/>
      <c r="L55" s="14"/>
      <c r="M55" s="14"/>
      <c r="N55" s="14"/>
      <c r="O55" s="14"/>
      <c r="P55" s="103">
        <f>D55+H55-L55</f>
        <v>2631.45</v>
      </c>
      <c r="Q55" s="63"/>
      <c r="R55" s="14"/>
    </row>
    <row r="56" spans="1:21" x14ac:dyDescent="0.15">
      <c r="H56" s="14"/>
      <c r="P56" s="68"/>
      <c r="Q56" s="67"/>
    </row>
    <row r="57" spans="1:21" x14ac:dyDescent="0.15">
      <c r="A57" s="16" t="s">
        <v>707</v>
      </c>
      <c r="B57" s="16"/>
      <c r="C57" s="16" t="s">
        <v>151</v>
      </c>
      <c r="D57" s="4">
        <v>335.93000000000029</v>
      </c>
      <c r="E57" s="4"/>
      <c r="F57" s="14"/>
      <c r="G57" s="14"/>
      <c r="H57" s="14"/>
      <c r="I57" s="14"/>
      <c r="J57" s="4"/>
      <c r="K57" s="14"/>
      <c r="L57" s="14"/>
      <c r="M57" s="14"/>
      <c r="N57" s="14"/>
      <c r="O57" s="14"/>
      <c r="P57" s="103">
        <f>D57+H57-L57</f>
        <v>335.93000000000029</v>
      </c>
      <c r="Q57" s="63"/>
      <c r="R57" s="14"/>
    </row>
    <row r="58" spans="1:21" ht="12" thickBot="1" x14ac:dyDescent="0.2">
      <c r="A58" s="16" t="s">
        <v>709</v>
      </c>
      <c r="B58" s="16"/>
      <c r="C58" s="16" t="s">
        <v>148</v>
      </c>
      <c r="D58" s="25">
        <v>1342.15</v>
      </c>
      <c r="E58" s="25"/>
      <c r="F58" s="14"/>
      <c r="G58" s="14"/>
      <c r="H58" s="14"/>
      <c r="I58" s="14"/>
      <c r="J58" s="4"/>
      <c r="K58" s="14"/>
      <c r="L58" s="14"/>
      <c r="M58" s="14"/>
      <c r="N58" s="14"/>
      <c r="O58" s="14"/>
      <c r="P58" s="103">
        <f>D58+H58-L58</f>
        <v>1342.15</v>
      </c>
      <c r="Q58" s="63">
        <f>SUM(P42:P58)</f>
        <v>92504.37</v>
      </c>
      <c r="R58" s="14">
        <f>Q58</f>
        <v>92504.37</v>
      </c>
      <c r="U58" s="14">
        <f>SUM(R27:R58)</f>
        <v>166180.81</v>
      </c>
    </row>
    <row r="59" spans="1:21" ht="12" thickBot="1" x14ac:dyDescent="0.2">
      <c r="E59" s="14">
        <f>SUM(D52:D58)</f>
        <v>17266.43</v>
      </c>
      <c r="F59" s="14"/>
      <c r="H59" s="14"/>
      <c r="P59" s="106"/>
      <c r="Q59" s="88"/>
    </row>
    <row r="60" spans="1:21" x14ac:dyDescent="0.15">
      <c r="A60" s="16"/>
      <c r="B60" s="16"/>
      <c r="C60" s="16"/>
      <c r="D60" s="4"/>
      <c r="E60" s="4"/>
      <c r="F60" s="14"/>
      <c r="G60" s="14"/>
      <c r="H60" s="14"/>
      <c r="I60" s="14"/>
      <c r="J60" s="4"/>
      <c r="K60" s="14"/>
      <c r="L60" s="14"/>
      <c r="M60" s="14"/>
      <c r="N60" s="14"/>
      <c r="O60" s="14"/>
      <c r="P60" s="17">
        <f>D60+F60-K60-M60</f>
        <v>0</v>
      </c>
      <c r="Q60" s="14"/>
      <c r="R60" s="14"/>
    </row>
    <row r="61" spans="1:21" x14ac:dyDescent="0.15">
      <c r="A61" s="16"/>
      <c r="B61" s="16"/>
      <c r="C61" s="16"/>
      <c r="D61" s="4"/>
      <c r="E61" s="4"/>
      <c r="F61" s="14">
        <f>SUM(D25:D58)</f>
        <v>142097.82999999999</v>
      </c>
      <c r="G61" s="14"/>
      <c r="H61" s="14"/>
      <c r="I61" s="14"/>
      <c r="J61" s="4"/>
      <c r="K61" s="14"/>
      <c r="L61" s="14"/>
      <c r="M61" s="14"/>
      <c r="N61" s="14"/>
      <c r="O61" s="14"/>
      <c r="P61" s="17"/>
      <c r="Q61" s="14"/>
      <c r="R61" s="14"/>
    </row>
    <row r="62" spans="1:21" x14ac:dyDescent="0.15">
      <c r="A62" s="16"/>
      <c r="B62" s="16"/>
      <c r="C62" s="16"/>
      <c r="D62" s="4"/>
      <c r="E62" s="4"/>
      <c r="F62" s="14"/>
      <c r="G62" s="14"/>
      <c r="H62" s="14"/>
      <c r="I62" s="14"/>
      <c r="J62" s="4"/>
      <c r="K62" s="14"/>
      <c r="L62" s="14"/>
      <c r="M62" s="14"/>
      <c r="N62" s="14"/>
      <c r="O62" s="14"/>
      <c r="P62" s="17"/>
      <c r="Q62" s="14"/>
      <c r="R62" s="14"/>
    </row>
    <row r="63" spans="1:21" x14ac:dyDescent="0.15">
      <c r="A63" s="16"/>
      <c r="B63" s="16"/>
      <c r="C63" s="16"/>
      <c r="D63" s="4"/>
      <c r="E63" s="4"/>
      <c r="F63" s="14"/>
      <c r="G63" s="14"/>
      <c r="H63" s="14"/>
      <c r="I63" s="14"/>
      <c r="J63" s="4"/>
      <c r="K63" s="14"/>
      <c r="L63" s="14"/>
      <c r="M63" s="14"/>
      <c r="N63" s="14"/>
      <c r="O63" s="14"/>
      <c r="P63" s="17"/>
      <c r="Q63" s="14"/>
      <c r="R63" s="14"/>
    </row>
    <row r="64" spans="1:21" x14ac:dyDescent="0.15">
      <c r="A64" s="16"/>
      <c r="B64" s="16"/>
      <c r="C64" s="26"/>
      <c r="D64" s="4"/>
      <c r="E64" s="4"/>
      <c r="F64" s="14"/>
      <c r="G64" s="14"/>
      <c r="H64" s="14"/>
      <c r="I64" s="14"/>
      <c r="J64" s="4"/>
      <c r="K64" s="14"/>
      <c r="L64" s="14"/>
      <c r="M64" s="14"/>
      <c r="N64" s="14"/>
      <c r="O64" s="14"/>
      <c r="P64" s="14"/>
      <c r="Q64" s="14"/>
      <c r="R64" s="14"/>
    </row>
    <row r="65" spans="1:255" ht="12" thickBot="1" x14ac:dyDescent="0.2">
      <c r="A65" s="16"/>
      <c r="B65" s="16"/>
      <c r="C65" s="4" t="s">
        <v>87</v>
      </c>
      <c r="D65" s="25">
        <v>20482.009999999998</v>
      </c>
      <c r="E65" s="25"/>
      <c r="F65" s="14"/>
      <c r="G65" s="14"/>
      <c r="H65" s="14"/>
      <c r="I65" s="14"/>
      <c r="J65" s="4"/>
      <c r="K65" s="14"/>
      <c r="L65" s="14"/>
      <c r="M65" s="14"/>
      <c r="N65" s="14"/>
      <c r="O65" s="14"/>
      <c r="P65" s="17">
        <f>D65+H65-L65</f>
        <v>20482.009999999998</v>
      </c>
      <c r="Q65" s="24">
        <f>P65</f>
        <v>20482.009999999998</v>
      </c>
      <c r="R65" s="24"/>
      <c r="S65" s="54"/>
    </row>
    <row r="66" spans="1:255" ht="12" thickBot="1" x14ac:dyDescent="0.2">
      <c r="A66" s="16"/>
      <c r="B66" s="16"/>
      <c r="C66" s="16"/>
      <c r="D66" s="4"/>
      <c r="E66" s="4">
        <f>D65</f>
        <v>20482.009999999998</v>
      </c>
      <c r="F66" s="24">
        <f>E66</f>
        <v>20482.009999999998</v>
      </c>
      <c r="G66" s="14"/>
      <c r="H66" s="14"/>
      <c r="I66" s="14"/>
      <c r="J66" s="4"/>
      <c r="K66" s="14"/>
      <c r="L66" s="14"/>
      <c r="M66" s="14"/>
      <c r="N66" s="14"/>
      <c r="O66" s="14"/>
      <c r="P66" s="14"/>
      <c r="Q66" s="14"/>
      <c r="R66" s="14"/>
      <c r="S66" s="14">
        <f>SUM(Q38:Q65)</f>
        <v>186662.82</v>
      </c>
    </row>
    <row r="67" spans="1:255" ht="12" thickBot="1" x14ac:dyDescent="0.2">
      <c r="A67" s="16"/>
      <c r="B67" s="16"/>
      <c r="C67" s="16"/>
      <c r="D67" s="4"/>
      <c r="E67" s="28"/>
      <c r="G67" s="14"/>
      <c r="H67" s="14"/>
      <c r="I67" s="14"/>
      <c r="J67" s="4"/>
      <c r="K67" s="14"/>
      <c r="L67" s="14"/>
      <c r="M67" s="14"/>
      <c r="N67" s="14"/>
      <c r="O67" s="14"/>
      <c r="P67" s="14"/>
      <c r="Q67" s="14"/>
      <c r="R67" s="14"/>
      <c r="S67" s="14"/>
    </row>
    <row r="68" spans="1:255" x14ac:dyDescent="0.15">
      <c r="A68" s="16"/>
      <c r="B68" s="16"/>
      <c r="C68" s="16"/>
      <c r="D68" s="4"/>
      <c r="E68" s="4"/>
      <c r="F68" s="14"/>
      <c r="G68" s="14"/>
      <c r="H68" s="14"/>
      <c r="I68" s="14"/>
      <c r="J68" s="4"/>
      <c r="K68" s="14"/>
      <c r="L68" s="14"/>
      <c r="M68" s="14"/>
      <c r="N68" s="14"/>
      <c r="O68" s="14"/>
      <c r="P68" s="14"/>
      <c r="Q68" s="14"/>
      <c r="R68" s="14"/>
      <c r="S68" s="14"/>
    </row>
    <row r="69" spans="1:255" x14ac:dyDescent="0.15">
      <c r="A69" s="16"/>
      <c r="B69" s="16"/>
      <c r="C69" s="16" t="s">
        <v>499</v>
      </c>
      <c r="D69" s="4">
        <v>65537.53</v>
      </c>
      <c r="E69" s="4"/>
      <c r="F69" s="14"/>
      <c r="G69" s="14"/>
      <c r="H69" s="14"/>
      <c r="I69" s="14"/>
      <c r="J69" s="4"/>
      <c r="K69" s="14"/>
      <c r="L69" s="14"/>
      <c r="M69" s="14"/>
      <c r="N69" s="14"/>
      <c r="O69" s="14"/>
      <c r="P69" s="17">
        <f>D69+H69-L69</f>
        <v>65537.53</v>
      </c>
      <c r="Q69" s="14"/>
      <c r="R69" s="14"/>
    </row>
    <row r="70" spans="1:255" ht="12" thickBot="1" x14ac:dyDescent="0.2">
      <c r="A70" s="16"/>
      <c r="B70" s="16"/>
      <c r="C70" s="16" t="s">
        <v>500</v>
      </c>
      <c r="D70" s="25">
        <v>505</v>
      </c>
      <c r="E70" s="25"/>
      <c r="F70" s="14"/>
      <c r="G70" s="14"/>
      <c r="H70" s="14"/>
      <c r="I70" s="14"/>
      <c r="J70" s="4"/>
      <c r="K70" s="14"/>
      <c r="L70" s="14"/>
      <c r="M70" s="14"/>
      <c r="N70" s="14"/>
      <c r="O70" s="14"/>
      <c r="P70" s="17">
        <f>D70+H70-L70</f>
        <v>505</v>
      </c>
      <c r="Q70" s="24"/>
      <c r="R70" s="14"/>
    </row>
    <row r="71" spans="1:255" ht="12" thickBot="1" x14ac:dyDescent="0.2">
      <c r="A71" s="16"/>
      <c r="B71" s="16"/>
      <c r="C71" s="16"/>
      <c r="D71" s="4"/>
      <c r="E71" s="4">
        <f>SUM(D69:D70)</f>
        <v>66042.53</v>
      </c>
      <c r="F71" s="14"/>
      <c r="G71" s="14"/>
      <c r="H71" s="14"/>
      <c r="I71" s="14"/>
      <c r="J71" s="4"/>
      <c r="K71" s="14"/>
      <c r="L71" s="14"/>
      <c r="M71" s="14"/>
      <c r="N71" s="14"/>
      <c r="O71" s="14"/>
      <c r="P71" s="14"/>
      <c r="Q71" s="20">
        <f>SUM(P69:P70)</f>
        <v>66042.53</v>
      </c>
      <c r="R71" s="14"/>
    </row>
    <row r="72" spans="1:255" x14ac:dyDescent="0.15">
      <c r="A72" s="16"/>
      <c r="B72" s="16"/>
      <c r="C72" s="16"/>
      <c r="D72" s="4"/>
      <c r="E72" s="4"/>
      <c r="F72" s="14"/>
      <c r="G72" s="14"/>
      <c r="H72" s="14"/>
      <c r="I72" s="14"/>
      <c r="J72" s="4"/>
      <c r="K72" s="14"/>
      <c r="L72" s="14"/>
      <c r="M72" s="14"/>
      <c r="N72" s="14"/>
      <c r="O72" s="14"/>
      <c r="P72" s="14"/>
      <c r="Q72" s="14"/>
      <c r="R72" s="14"/>
      <c r="S72" s="14"/>
    </row>
    <row r="73" spans="1:255" x14ac:dyDescent="0.15">
      <c r="A73" s="16"/>
      <c r="B73" s="16"/>
      <c r="C73" s="16"/>
      <c r="D73" s="4"/>
      <c r="E73" s="4"/>
      <c r="F73" s="14"/>
      <c r="G73" s="14"/>
      <c r="H73" s="14"/>
      <c r="I73" s="14"/>
      <c r="J73" s="4"/>
      <c r="K73" s="14"/>
      <c r="L73" s="14"/>
      <c r="M73" s="14"/>
      <c r="N73" s="14"/>
      <c r="O73" s="14"/>
      <c r="P73" s="14"/>
      <c r="Q73" s="14"/>
      <c r="R73" s="14"/>
    </row>
    <row r="74" spans="1:255" x14ac:dyDescent="0.15">
      <c r="A74" s="16"/>
      <c r="B74" s="16"/>
      <c r="C74" s="16" t="s">
        <v>785</v>
      </c>
      <c r="D74" s="4"/>
      <c r="E74" s="4"/>
      <c r="F74" s="14"/>
      <c r="G74" s="14"/>
      <c r="H74" s="14"/>
      <c r="I74" s="14"/>
      <c r="J74" s="4"/>
      <c r="K74" s="14"/>
      <c r="L74" s="14"/>
      <c r="M74" s="14"/>
      <c r="N74" s="14"/>
      <c r="O74" s="14"/>
      <c r="P74" s="14"/>
      <c r="Q74" s="14"/>
      <c r="R74" s="14"/>
    </row>
    <row r="75" spans="1:255" x14ac:dyDescent="0.15">
      <c r="A75" s="23"/>
      <c r="B75" s="23"/>
      <c r="C75" s="16"/>
      <c r="D75" s="4"/>
      <c r="E75" s="4"/>
      <c r="F75" s="14"/>
      <c r="G75" s="14"/>
      <c r="H75" s="14"/>
      <c r="I75" s="14"/>
      <c r="J75" s="4"/>
      <c r="K75" s="14"/>
      <c r="L75" s="14"/>
      <c r="M75" s="14"/>
      <c r="N75" s="14"/>
      <c r="O75" s="14"/>
      <c r="P75" s="14"/>
      <c r="Q75" s="14"/>
      <c r="R75" s="14"/>
    </row>
    <row r="76" spans="1:255" x14ac:dyDescent="0.15">
      <c r="A76" s="29"/>
      <c r="B76" s="29"/>
      <c r="C76" s="30" t="s">
        <v>90</v>
      </c>
      <c r="D76" s="31"/>
      <c r="E76" s="31"/>
      <c r="F76" s="15"/>
      <c r="G76" s="15"/>
      <c r="H76" s="15"/>
      <c r="I76" s="15"/>
      <c r="J76" s="31"/>
      <c r="K76" s="15"/>
      <c r="L76" s="15"/>
      <c r="M76" s="15"/>
      <c r="N76" s="15"/>
      <c r="O76" s="15"/>
      <c r="P76" s="15"/>
      <c r="Q76" s="15"/>
      <c r="R76" s="15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29"/>
      <c r="ET76" s="29"/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29"/>
      <c r="FF76" s="29"/>
      <c r="FG76" s="29"/>
      <c r="FH76" s="29"/>
      <c r="FI76" s="29"/>
      <c r="FJ76" s="29"/>
      <c r="FK76" s="29"/>
      <c r="FL76" s="29"/>
      <c r="FM76" s="29"/>
      <c r="FN76" s="29"/>
      <c r="FO76" s="29"/>
      <c r="FP76" s="29"/>
      <c r="FQ76" s="29"/>
      <c r="FR76" s="29"/>
      <c r="FS76" s="29"/>
      <c r="FT76" s="29"/>
      <c r="FU76" s="29"/>
      <c r="FV76" s="29"/>
      <c r="FW76" s="29"/>
      <c r="FX76" s="29"/>
      <c r="FY76" s="29"/>
      <c r="FZ76" s="29"/>
      <c r="GA76" s="29"/>
      <c r="GB76" s="29"/>
      <c r="GC76" s="29"/>
      <c r="GD76" s="29"/>
      <c r="GE76" s="29"/>
      <c r="GF76" s="29"/>
      <c r="GG76" s="29"/>
      <c r="GH76" s="29"/>
      <c r="GI76" s="29"/>
      <c r="GJ76" s="29"/>
      <c r="GK76" s="29"/>
      <c r="GL76" s="29"/>
      <c r="GM76" s="29"/>
      <c r="GN76" s="29"/>
      <c r="GO76" s="29"/>
      <c r="GP76" s="29"/>
      <c r="GQ76" s="29"/>
      <c r="GR76" s="29"/>
      <c r="GS76" s="29"/>
      <c r="GT76" s="29"/>
      <c r="GU76" s="29"/>
      <c r="GV76" s="29"/>
      <c r="GW76" s="29"/>
      <c r="GX76" s="29"/>
      <c r="GY76" s="29"/>
      <c r="GZ76" s="29"/>
      <c r="HA76" s="29"/>
      <c r="HB76" s="29"/>
      <c r="HC76" s="29"/>
      <c r="HD76" s="29"/>
      <c r="HE76" s="29"/>
      <c r="HF76" s="29"/>
      <c r="HG76" s="29"/>
      <c r="HH76" s="29"/>
      <c r="HI76" s="29"/>
      <c r="HJ76" s="29"/>
      <c r="HK76" s="29"/>
      <c r="HL76" s="29"/>
      <c r="HM76" s="29"/>
      <c r="HN76" s="29"/>
      <c r="HO76" s="29"/>
      <c r="HP76" s="29"/>
      <c r="HQ76" s="29"/>
      <c r="HR76" s="29"/>
      <c r="HS76" s="29"/>
      <c r="HT76" s="29"/>
      <c r="HU76" s="29"/>
      <c r="HV76" s="29"/>
      <c r="HW76" s="29"/>
      <c r="HX76" s="29"/>
      <c r="HY76" s="29"/>
      <c r="HZ76" s="29"/>
      <c r="IA76" s="29"/>
      <c r="IB76" s="29"/>
      <c r="IC76" s="29"/>
      <c r="ID76" s="29"/>
      <c r="IE76" s="29"/>
      <c r="IF76" s="29"/>
      <c r="IG76" s="29"/>
      <c r="IH76" s="29"/>
      <c r="II76" s="29"/>
      <c r="IJ76" s="29"/>
      <c r="IK76" s="29"/>
      <c r="IL76" s="29"/>
      <c r="IM76" s="29"/>
      <c r="IN76" s="29"/>
      <c r="IO76" s="29"/>
      <c r="IP76" s="29"/>
      <c r="IQ76" s="29"/>
      <c r="IR76" s="29"/>
      <c r="IS76" s="29"/>
      <c r="IT76" s="29"/>
      <c r="IU76" s="29"/>
    </row>
    <row r="77" spans="1:255" x14ac:dyDescent="0.15">
      <c r="A77" s="16"/>
      <c r="B77" s="22"/>
      <c r="C77" s="16" t="s">
        <v>91</v>
      </c>
      <c r="D77" s="4">
        <v>52957.62</v>
      </c>
      <c r="E77" s="4"/>
      <c r="F77" s="14"/>
      <c r="G77" s="14"/>
      <c r="H77" s="14"/>
      <c r="I77" s="14"/>
      <c r="J77" s="4"/>
      <c r="K77" s="14"/>
      <c r="L77" s="14"/>
      <c r="M77" s="14"/>
      <c r="N77" s="14"/>
      <c r="O77" s="14"/>
      <c r="P77" s="14">
        <f>SUM(D77:N77)</f>
        <v>52957.62</v>
      </c>
      <c r="Q77" s="14"/>
      <c r="R77" s="14"/>
    </row>
    <row r="78" spans="1:255" x14ac:dyDescent="0.15">
      <c r="A78" s="16"/>
      <c r="B78" s="22" t="s">
        <v>92</v>
      </c>
      <c r="C78" s="16" t="s">
        <v>93</v>
      </c>
      <c r="D78" s="4">
        <v>26800</v>
      </c>
      <c r="E78" s="4">
        <f>SUM(D77:D78)</f>
        <v>79757.62</v>
      </c>
      <c r="F78" s="14"/>
      <c r="G78" s="14"/>
      <c r="H78" s="14"/>
      <c r="I78" s="14"/>
      <c r="J78" s="4"/>
      <c r="K78" s="14"/>
      <c r="L78" s="14"/>
      <c r="M78" s="14"/>
      <c r="O78" s="14"/>
      <c r="P78" s="14">
        <f>D78+H78</f>
        <v>26800</v>
      </c>
      <c r="Q78" s="14">
        <f>SUM(P77:P78)</f>
        <v>79757.62</v>
      </c>
      <c r="R78" s="14"/>
    </row>
    <row r="79" spans="1:255" ht="12" thickBot="1" x14ac:dyDescent="0.2">
      <c r="A79" s="16"/>
      <c r="B79" s="16"/>
      <c r="C79" s="16"/>
      <c r="D79" s="4"/>
      <c r="E79" s="4"/>
      <c r="F79" s="14"/>
      <c r="G79" s="14"/>
      <c r="H79" s="14"/>
      <c r="I79" s="14"/>
      <c r="J79" s="4"/>
      <c r="K79" s="14"/>
      <c r="L79" s="14"/>
      <c r="M79" s="14"/>
      <c r="N79" s="14"/>
      <c r="O79" s="14"/>
      <c r="P79" s="14"/>
      <c r="Q79" s="14"/>
      <c r="R79" s="14"/>
    </row>
    <row r="80" spans="1:255" ht="12" thickBot="1" x14ac:dyDescent="0.2">
      <c r="A80" s="16"/>
      <c r="B80" s="16" t="s">
        <v>94</v>
      </c>
      <c r="C80" s="16"/>
      <c r="D80" s="32">
        <f>SUM(D6:D78)</f>
        <v>346763.72000000003</v>
      </c>
      <c r="E80" s="32">
        <f>SUM(E22:E78)</f>
        <v>311328.07</v>
      </c>
      <c r="F80" s="14">
        <f>SUM(F59:F66)</f>
        <v>162579.84</v>
      </c>
      <c r="G80" s="47"/>
      <c r="H80" s="32">
        <f>SUM(H11:H79)</f>
        <v>29248.559999999998</v>
      </c>
      <c r="I80" s="32"/>
      <c r="J80" s="32"/>
      <c r="K80" s="47">
        <f>SUM(K18:K79)</f>
        <v>0</v>
      </c>
      <c r="L80" s="47">
        <f>SUM(L14:L76)</f>
        <v>19279.580000000002</v>
      </c>
      <c r="M80" s="32"/>
      <c r="N80" s="32">
        <f>SUM(N5:N79)</f>
        <v>0</v>
      </c>
      <c r="O80" s="32"/>
      <c r="P80" s="32">
        <f>SUM(P6:P78)</f>
        <v>349909.34</v>
      </c>
      <c r="Q80" s="32"/>
      <c r="R80" s="4"/>
    </row>
    <row r="81" spans="1:18" x14ac:dyDescent="0.15">
      <c r="A81" s="27"/>
      <c r="B81" s="27"/>
      <c r="C81" s="27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</row>
    <row r="82" spans="1:18" x14ac:dyDescent="0.15">
      <c r="A82" s="27"/>
      <c r="B82" s="27"/>
      <c r="C82" s="27"/>
      <c r="D82" s="14"/>
      <c r="E82" s="14"/>
      <c r="F82" s="14"/>
      <c r="G82" s="14"/>
      <c r="H82" s="14">
        <f>SUM(H80)</f>
        <v>29248.559999999998</v>
      </c>
      <c r="I82" s="14"/>
      <c r="J82" s="14"/>
      <c r="K82" s="14"/>
      <c r="L82" s="46">
        <f>SUM(K80:L80)</f>
        <v>19279.580000000002</v>
      </c>
      <c r="N82" s="14"/>
      <c r="O82" s="14"/>
      <c r="P82" s="14"/>
      <c r="Q82" s="14"/>
      <c r="R82" s="14"/>
    </row>
    <row r="83" spans="1:18" x14ac:dyDescent="0.15">
      <c r="A83" s="27"/>
      <c r="B83" s="27"/>
      <c r="C83" s="27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</row>
    <row r="84" spans="1:18" ht="0.5" customHeight="1" x14ac:dyDescent="0.15"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</row>
    <row r="85" spans="1:18" x14ac:dyDescent="0.15">
      <c r="C85" s="23"/>
      <c r="H85" s="14"/>
      <c r="K85" s="14"/>
      <c r="L85" s="14">
        <v>0</v>
      </c>
      <c r="M85" s="14"/>
    </row>
    <row r="86" spans="1:18" x14ac:dyDescent="0.15">
      <c r="C86" s="23"/>
      <c r="E86" s="14"/>
      <c r="F86" s="14"/>
      <c r="H86" s="14"/>
    </row>
    <row r="87" spans="1:18" x14ac:dyDescent="0.15">
      <c r="C87" s="23"/>
      <c r="E87" s="59"/>
      <c r="F87" s="53"/>
      <c r="G87" s="53"/>
      <c r="H87" s="59"/>
      <c r="I87" s="27"/>
      <c r="J87" s="27"/>
      <c r="K87" s="27"/>
      <c r="L87" s="53"/>
      <c r="M87" s="27"/>
      <c r="N87" s="27"/>
      <c r="O87" s="27"/>
      <c r="P87" s="27"/>
    </row>
    <row r="88" spans="1:18" x14ac:dyDescent="0.15">
      <c r="C88" s="23"/>
      <c r="E88" s="14"/>
      <c r="F88" s="14"/>
      <c r="H88" s="14"/>
    </row>
    <row r="89" spans="1:18" x14ac:dyDescent="0.15">
      <c r="C89" s="23"/>
      <c r="E89" s="14"/>
      <c r="F89" s="14"/>
      <c r="H89" s="14"/>
    </row>
    <row r="90" spans="1:18" x14ac:dyDescent="0.15">
      <c r="C90" s="23"/>
      <c r="E90" s="14"/>
      <c r="F90" s="14"/>
      <c r="H90" s="14"/>
    </row>
    <row r="91" spans="1:18" x14ac:dyDescent="0.15">
      <c r="C91" s="23"/>
      <c r="E91" s="14"/>
      <c r="F91" s="14"/>
      <c r="H91" s="14"/>
    </row>
    <row r="92" spans="1:18" x14ac:dyDescent="0.15">
      <c r="C92" s="23"/>
      <c r="E92" s="14"/>
      <c r="F92" s="14"/>
      <c r="H92" s="14"/>
    </row>
    <row r="93" spans="1:18" x14ac:dyDescent="0.15">
      <c r="C93" s="23"/>
      <c r="E93" s="14"/>
      <c r="F93" s="14"/>
      <c r="H93" s="14"/>
    </row>
    <row r="94" spans="1:18" x14ac:dyDescent="0.15">
      <c r="C94" s="23"/>
      <c r="E94" s="14"/>
      <c r="F94" s="14"/>
      <c r="H94" s="14"/>
    </row>
    <row r="95" spans="1:18" x14ac:dyDescent="0.15">
      <c r="C95" s="23"/>
      <c r="E95" s="14"/>
      <c r="F95" s="14"/>
      <c r="H95" s="14"/>
    </row>
    <row r="96" spans="1:18" x14ac:dyDescent="0.15">
      <c r="C96" s="23"/>
      <c r="E96" s="14"/>
      <c r="F96" s="14"/>
      <c r="H96" s="14"/>
    </row>
    <row r="97" spans="3:8" x14ac:dyDescent="0.15">
      <c r="C97" s="23"/>
      <c r="E97" s="14"/>
      <c r="F97" s="14"/>
      <c r="H97" s="14"/>
    </row>
    <row r="98" spans="3:8" x14ac:dyDescent="0.15">
      <c r="C98" s="23"/>
      <c r="E98" s="14"/>
      <c r="F98" s="14"/>
      <c r="H98" s="14"/>
    </row>
    <row r="99" spans="3:8" x14ac:dyDescent="0.15">
      <c r="C99" s="23"/>
      <c r="E99" s="14"/>
      <c r="F99" s="14"/>
      <c r="H99" s="14"/>
    </row>
    <row r="100" spans="3:8" x14ac:dyDescent="0.15">
      <c r="C100" s="23"/>
      <c r="E100" s="14"/>
      <c r="F100" s="14"/>
      <c r="H100" s="14"/>
    </row>
    <row r="101" spans="3:8" x14ac:dyDescent="0.15">
      <c r="C101" s="23"/>
      <c r="E101" s="14"/>
      <c r="F101" s="14"/>
      <c r="H101" s="14"/>
    </row>
    <row r="102" spans="3:8" x14ac:dyDescent="0.15">
      <c r="C102" s="23"/>
      <c r="E102" s="14"/>
      <c r="F102" s="14"/>
      <c r="H102" s="14"/>
    </row>
    <row r="103" spans="3:8" x14ac:dyDescent="0.15">
      <c r="C103" s="23"/>
      <c r="E103" s="14"/>
      <c r="F103" s="14"/>
      <c r="H103" s="14"/>
    </row>
    <row r="104" spans="3:8" x14ac:dyDescent="0.15">
      <c r="C104" s="23"/>
      <c r="E104" s="14"/>
      <c r="F104" s="14"/>
      <c r="H104" s="14"/>
    </row>
    <row r="105" spans="3:8" x14ac:dyDescent="0.15">
      <c r="C105" s="23"/>
      <c r="E105" s="14"/>
      <c r="F105" s="14"/>
      <c r="H105" s="14"/>
    </row>
    <row r="106" spans="3:8" x14ac:dyDescent="0.15">
      <c r="C106" s="23"/>
      <c r="E106" s="14"/>
      <c r="F106" s="14"/>
      <c r="H106" s="14"/>
    </row>
    <row r="107" spans="3:8" x14ac:dyDescent="0.15">
      <c r="C107" s="23"/>
      <c r="E107" s="14"/>
      <c r="F107" s="14"/>
      <c r="H107" s="14"/>
    </row>
    <row r="108" spans="3:8" x14ac:dyDescent="0.15">
      <c r="C108" s="23"/>
      <c r="E108" s="14"/>
      <c r="F108" s="14"/>
    </row>
    <row r="109" spans="3:8" ht="30.5" customHeight="1" x14ac:dyDescent="0.15">
      <c r="C109" s="23"/>
      <c r="E109" s="14"/>
      <c r="F109" s="14"/>
    </row>
    <row r="110" spans="3:8" x14ac:dyDescent="0.15">
      <c r="C110" s="4"/>
      <c r="D110" s="14"/>
      <c r="E110" s="14"/>
      <c r="F110" s="14"/>
    </row>
    <row r="111" spans="3:8" x14ac:dyDescent="0.15">
      <c r="C111" s="4"/>
      <c r="D111" s="14"/>
      <c r="E111" s="14"/>
      <c r="F111" s="14"/>
    </row>
    <row r="112" spans="3:8" x14ac:dyDescent="0.15">
      <c r="C112" s="4"/>
      <c r="D112" s="14"/>
      <c r="E112" s="14"/>
      <c r="F112" s="14"/>
    </row>
    <row r="113" spans="3:6" x14ac:dyDescent="0.15">
      <c r="C113" s="4"/>
      <c r="D113" s="14"/>
      <c r="E113" s="14"/>
      <c r="F113" s="14"/>
    </row>
  </sheetData>
  <mergeCells count="2">
    <mergeCell ref="F2:H2"/>
    <mergeCell ref="K2:N2"/>
  </mergeCells>
  <pageMargins left="0.7" right="0.7" top="0.75" bottom="0.75" header="0.3" footer="0.3"/>
  <pageSetup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B5E61-27D6-4F68-9CEB-ACEE22F4E4D8}">
  <dimension ref="A1:IU113"/>
  <sheetViews>
    <sheetView zoomScaleNormal="100" workbookViewId="0">
      <pane ySplit="3" topLeftCell="A30" activePane="bottomLeft" state="frozen"/>
      <selection pane="bottomLeft"/>
    </sheetView>
  </sheetViews>
  <sheetFormatPr baseColWidth="10" defaultColWidth="11.83203125" defaultRowHeight="11" x14ac:dyDescent="0.15"/>
  <cols>
    <col min="1" max="1" width="11.83203125" style="34" customWidth="1"/>
    <col min="2" max="2" width="11.1640625" style="34" customWidth="1"/>
    <col min="3" max="3" width="32.33203125" style="34" customWidth="1"/>
    <col min="4" max="6" width="11.83203125" style="23" customWidth="1"/>
    <col min="7" max="8" width="9.6640625" style="23" customWidth="1"/>
    <col min="9" max="9" width="11.83203125" style="23" customWidth="1"/>
    <col min="10" max="10" width="2.6640625" style="23" customWidth="1"/>
    <col min="11" max="11" width="10" style="23" customWidth="1"/>
    <col min="12" max="12" width="9.6640625" style="23" customWidth="1"/>
    <col min="13" max="13" width="8.5" style="23" customWidth="1"/>
    <col min="14" max="14" width="11.83203125" style="23" customWidth="1"/>
    <col min="15" max="15" width="4.6640625" style="23" customWidth="1"/>
    <col min="16" max="16" width="17.6640625" style="23" customWidth="1"/>
    <col min="17" max="18" width="14.5" style="23" customWidth="1"/>
    <col min="19" max="16384" width="11.83203125" style="23"/>
  </cols>
  <sheetData>
    <row r="1" spans="1:255" x14ac:dyDescent="0.15">
      <c r="C1" s="35" t="s">
        <v>64</v>
      </c>
    </row>
    <row r="2" spans="1:255" x14ac:dyDescent="0.15">
      <c r="A2" s="27"/>
      <c r="B2" s="27"/>
      <c r="C2" s="35" t="s">
        <v>65</v>
      </c>
      <c r="D2" s="36" t="s">
        <v>12</v>
      </c>
      <c r="E2" s="27"/>
      <c r="F2" s="342"/>
      <c r="G2" s="343"/>
      <c r="H2" s="343"/>
      <c r="I2" s="37"/>
      <c r="J2" s="27"/>
      <c r="K2" s="342" t="s">
        <v>66</v>
      </c>
      <c r="L2" s="343"/>
      <c r="M2" s="344"/>
      <c r="N2" s="345"/>
      <c r="O2" s="37"/>
      <c r="P2" s="36" t="s">
        <v>12</v>
      </c>
      <c r="Q2" s="37"/>
      <c r="R2" s="37"/>
    </row>
    <row r="3" spans="1:255" ht="36" x14ac:dyDescent="0.15">
      <c r="A3" s="38" t="s">
        <v>67</v>
      </c>
      <c r="B3" s="38" t="s">
        <v>68</v>
      </c>
      <c r="C3" s="39">
        <v>2024</v>
      </c>
      <c r="D3" s="72" t="s">
        <v>1443</v>
      </c>
      <c r="E3" s="40"/>
      <c r="H3" s="21" t="s">
        <v>646</v>
      </c>
      <c r="I3" s="21" t="s">
        <v>647</v>
      </c>
      <c r="J3" s="40"/>
      <c r="K3" s="21"/>
      <c r="L3" s="52" t="s">
        <v>648</v>
      </c>
      <c r="M3" s="41"/>
      <c r="N3" s="42" t="s">
        <v>69</v>
      </c>
      <c r="O3" s="43"/>
      <c r="P3" s="44" t="s">
        <v>2673</v>
      </c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43"/>
      <c r="IT3" s="43"/>
      <c r="IU3" s="43"/>
    </row>
    <row r="4" spans="1:255" x14ac:dyDescent="0.15">
      <c r="A4" s="23"/>
      <c r="B4" s="23"/>
      <c r="C4" s="16"/>
      <c r="D4" s="4"/>
      <c r="E4" s="4"/>
      <c r="F4" s="14"/>
      <c r="G4" s="14"/>
      <c r="H4" s="14"/>
      <c r="I4" s="14"/>
      <c r="J4" s="4"/>
      <c r="K4" s="14"/>
      <c r="L4" s="14"/>
      <c r="M4" s="14"/>
      <c r="N4" s="14"/>
      <c r="O4" s="14"/>
      <c r="P4" s="14"/>
      <c r="Q4" s="14"/>
      <c r="R4" s="14"/>
    </row>
    <row r="5" spans="1:255" x14ac:dyDescent="0.15">
      <c r="A5" s="29"/>
      <c r="B5" s="29"/>
      <c r="C5" s="30" t="s">
        <v>70</v>
      </c>
      <c r="D5" s="31"/>
      <c r="E5" s="31"/>
      <c r="F5" s="15"/>
      <c r="G5" s="15"/>
      <c r="H5" s="15"/>
      <c r="I5" s="15"/>
      <c r="J5" s="31"/>
      <c r="K5" s="15"/>
      <c r="L5" s="15"/>
      <c r="M5" s="15"/>
      <c r="N5" s="15"/>
      <c r="O5" s="15"/>
      <c r="P5" s="15"/>
      <c r="Q5" s="15"/>
      <c r="R5" s="15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</row>
    <row r="6" spans="1:255" x14ac:dyDescent="0.15">
      <c r="A6" s="16"/>
      <c r="B6" s="16"/>
      <c r="C6" s="16"/>
      <c r="D6" s="4"/>
      <c r="E6" s="4"/>
      <c r="F6" s="14"/>
      <c r="G6" s="14"/>
      <c r="H6" s="14"/>
      <c r="I6" s="14"/>
      <c r="J6" s="4"/>
      <c r="K6" s="14"/>
      <c r="L6" s="14"/>
      <c r="M6" s="14"/>
      <c r="N6" s="14"/>
      <c r="O6" s="14"/>
      <c r="P6" s="14"/>
      <c r="Q6" s="14"/>
      <c r="R6" s="14"/>
    </row>
    <row r="7" spans="1:255" x14ac:dyDescent="0.15">
      <c r="A7" s="16"/>
      <c r="B7" s="16"/>
      <c r="C7" s="16"/>
      <c r="D7" s="4"/>
      <c r="E7" s="4"/>
      <c r="F7" s="14"/>
      <c r="G7" s="14"/>
      <c r="H7" s="14"/>
      <c r="I7" s="14"/>
      <c r="J7" s="4"/>
      <c r="K7" s="14"/>
      <c r="M7" s="14"/>
      <c r="N7" s="14"/>
      <c r="O7" s="14"/>
      <c r="P7" s="17"/>
      <c r="Q7" s="14"/>
      <c r="R7" s="14"/>
    </row>
    <row r="8" spans="1:255" x14ac:dyDescent="0.15">
      <c r="B8" s="16" t="s">
        <v>580</v>
      </c>
      <c r="C8" s="16" t="s">
        <v>496</v>
      </c>
      <c r="D8" s="4">
        <v>11760.93</v>
      </c>
      <c r="E8" s="4">
        <f>D8</f>
        <v>11760.93</v>
      </c>
      <c r="F8" s="14"/>
      <c r="G8" s="14"/>
      <c r="H8" s="14"/>
      <c r="I8" s="14"/>
      <c r="J8" s="4"/>
      <c r="K8" s="14"/>
      <c r="L8" s="14"/>
      <c r="M8" s="14"/>
      <c r="N8" s="14"/>
      <c r="O8" s="14"/>
      <c r="P8" s="17">
        <f>D8+H8-L8</f>
        <v>11760.93</v>
      </c>
      <c r="Q8" s="14" t="s">
        <v>800</v>
      </c>
      <c r="R8" s="14"/>
    </row>
    <row r="9" spans="1:255" x14ac:dyDescent="0.15">
      <c r="B9" s="16"/>
      <c r="C9" s="16"/>
      <c r="D9" s="4"/>
      <c r="E9" s="4"/>
      <c r="F9" s="14"/>
      <c r="G9" s="14"/>
      <c r="H9" s="14"/>
      <c r="I9" s="14"/>
      <c r="J9" s="4"/>
      <c r="K9" s="14"/>
      <c r="L9" s="14"/>
      <c r="M9" s="14"/>
      <c r="N9" s="14"/>
      <c r="O9" s="14"/>
      <c r="P9" s="17"/>
      <c r="Q9" s="14"/>
      <c r="R9" s="14"/>
    </row>
    <row r="10" spans="1:255" x14ac:dyDescent="0.15">
      <c r="A10" s="16" t="s">
        <v>760</v>
      </c>
      <c r="B10" s="16" t="s">
        <v>581</v>
      </c>
      <c r="C10" s="16" t="s">
        <v>508</v>
      </c>
      <c r="D10" s="4">
        <v>0</v>
      </c>
      <c r="E10" s="4"/>
      <c r="F10" s="14"/>
      <c r="G10" s="14"/>
      <c r="H10" s="14"/>
      <c r="I10" s="14"/>
      <c r="J10" s="4"/>
      <c r="K10" s="14"/>
      <c r="L10" s="14">
        <v>9100</v>
      </c>
      <c r="M10" s="14"/>
      <c r="N10" s="14"/>
      <c r="O10" s="14"/>
      <c r="P10" s="17"/>
      <c r="Q10" s="14"/>
      <c r="R10" s="14"/>
    </row>
    <row r="11" spans="1:255" x14ac:dyDescent="0.15">
      <c r="A11" s="16" t="s">
        <v>760</v>
      </c>
      <c r="B11" s="22"/>
      <c r="C11" s="16" t="s">
        <v>761</v>
      </c>
      <c r="D11" s="4">
        <v>5755</v>
      </c>
      <c r="E11" s="4"/>
      <c r="F11" s="14"/>
      <c r="G11" s="14"/>
      <c r="H11" s="14"/>
      <c r="I11" s="14"/>
      <c r="J11" s="4"/>
      <c r="K11" s="14"/>
      <c r="M11" s="14"/>
      <c r="N11" s="14"/>
      <c r="O11" s="14"/>
      <c r="P11" s="17"/>
      <c r="Q11" s="14"/>
      <c r="R11" s="14"/>
    </row>
    <row r="12" spans="1:255" x14ac:dyDescent="0.15">
      <c r="A12" s="16"/>
      <c r="B12" s="22"/>
      <c r="C12" s="16" t="s">
        <v>508</v>
      </c>
      <c r="D12" s="4">
        <v>6082.36</v>
      </c>
      <c r="E12" s="4"/>
      <c r="F12" s="14"/>
      <c r="G12" s="14"/>
      <c r="H12" s="14"/>
      <c r="I12" s="14"/>
      <c r="J12" s="4"/>
      <c r="K12" s="14"/>
      <c r="M12" s="14"/>
      <c r="N12" s="14"/>
      <c r="O12" s="14"/>
      <c r="P12" s="17"/>
      <c r="Q12" s="14"/>
      <c r="R12" s="14"/>
    </row>
    <row r="13" spans="1:255" x14ac:dyDescent="0.15">
      <c r="A13" s="16" t="s">
        <v>738</v>
      </c>
      <c r="B13" s="22"/>
      <c r="C13" s="93" t="s">
        <v>739</v>
      </c>
      <c r="D13" s="94"/>
      <c r="E13" s="94"/>
      <c r="F13" s="24"/>
      <c r="G13" s="24"/>
      <c r="H13" s="24"/>
      <c r="I13" s="95"/>
      <c r="J13" s="94"/>
      <c r="K13" s="24"/>
      <c r="L13" s="24"/>
      <c r="M13" s="24"/>
      <c r="N13" s="24"/>
      <c r="O13" s="24"/>
      <c r="P13" s="96"/>
      <c r="Q13" s="14"/>
      <c r="R13" s="14"/>
    </row>
    <row r="14" spans="1:255" x14ac:dyDescent="0.15">
      <c r="A14" s="16"/>
      <c r="B14" s="16"/>
      <c r="C14" s="16" t="s">
        <v>777</v>
      </c>
      <c r="D14" s="85">
        <f>SUM(D10:D12)</f>
        <v>11837.36</v>
      </c>
      <c r="E14" s="4">
        <f>D14</f>
        <v>11837.36</v>
      </c>
      <c r="F14" s="14"/>
      <c r="G14" s="14"/>
      <c r="H14" s="14"/>
      <c r="I14" s="14">
        <f>SUM(H11:H13)</f>
        <v>0</v>
      </c>
      <c r="J14" s="4"/>
      <c r="K14" s="14"/>
      <c r="L14" s="14">
        <f>SUM(L10:L13)</f>
        <v>9100</v>
      </c>
      <c r="M14" s="14">
        <f>SUM(L13)</f>
        <v>0</v>
      </c>
      <c r="N14" s="14"/>
      <c r="O14" s="14"/>
      <c r="P14" s="17">
        <f>SUM(E14-L14)</f>
        <v>2737.3600000000006</v>
      </c>
      <c r="Q14" s="14"/>
      <c r="R14" s="14"/>
    </row>
    <row r="15" spans="1:255" x14ac:dyDescent="0.15">
      <c r="A15" s="16"/>
      <c r="B15" s="16"/>
      <c r="C15" s="16"/>
      <c r="D15" s="4"/>
      <c r="E15" s="4"/>
      <c r="F15" s="14"/>
      <c r="G15" s="14"/>
      <c r="H15" s="14"/>
      <c r="I15" s="14"/>
      <c r="J15" s="4"/>
      <c r="K15" s="14"/>
      <c r="L15" s="14"/>
      <c r="M15" s="14"/>
      <c r="N15" s="14"/>
      <c r="O15" s="14"/>
      <c r="P15" s="17"/>
      <c r="Q15" s="14"/>
      <c r="R15" s="14"/>
    </row>
    <row r="16" spans="1:255" x14ac:dyDescent="0.15">
      <c r="A16" s="16"/>
      <c r="B16" s="16"/>
      <c r="C16" s="16"/>
      <c r="D16" s="4"/>
      <c r="E16" s="4"/>
      <c r="F16" s="14"/>
      <c r="G16" s="14"/>
      <c r="H16" s="14"/>
      <c r="I16" s="14"/>
      <c r="J16" s="4"/>
      <c r="K16" s="14"/>
      <c r="L16" s="14"/>
      <c r="M16" s="14"/>
      <c r="N16" s="14"/>
      <c r="O16" s="14"/>
      <c r="P16" s="17"/>
      <c r="Q16" s="14"/>
      <c r="R16" s="14"/>
    </row>
    <row r="18" spans="1:255" x14ac:dyDescent="0.15">
      <c r="A18" s="16"/>
      <c r="B18" s="16"/>
      <c r="C18" s="16"/>
      <c r="D18" s="4"/>
      <c r="E18" s="4"/>
      <c r="F18" s="14"/>
      <c r="G18" s="14"/>
      <c r="H18" s="14"/>
      <c r="I18" s="14"/>
      <c r="J18" s="4"/>
      <c r="K18" s="14"/>
      <c r="L18" s="14"/>
      <c r="M18" s="14"/>
      <c r="N18" s="14"/>
      <c r="O18" s="14"/>
      <c r="P18" s="17"/>
      <c r="Q18" s="14"/>
      <c r="R18" s="14"/>
    </row>
    <row r="19" spans="1:255" x14ac:dyDescent="0.15">
      <c r="M19" s="14"/>
    </row>
    <row r="20" spans="1:255" x14ac:dyDescent="0.15">
      <c r="A20" s="16"/>
      <c r="B20" s="16"/>
      <c r="C20" s="16" t="s">
        <v>661</v>
      </c>
      <c r="D20" s="4">
        <v>2000</v>
      </c>
      <c r="E20" s="4"/>
      <c r="F20" s="14"/>
      <c r="G20" s="14"/>
      <c r="H20" s="14"/>
      <c r="I20" s="14"/>
      <c r="J20" s="4"/>
      <c r="K20" s="14"/>
      <c r="L20" s="14"/>
      <c r="M20" s="14"/>
      <c r="N20" s="14"/>
      <c r="O20" s="14"/>
      <c r="P20" s="17">
        <f>D20+H20-L20</f>
        <v>2000</v>
      </c>
      <c r="Q20" s="14"/>
      <c r="R20" s="14" t="s">
        <v>800</v>
      </c>
    </row>
    <row r="21" spans="1:255" ht="12" thickBot="1" x14ac:dyDescent="0.2">
      <c r="A21" s="16" t="s">
        <v>88</v>
      </c>
      <c r="B21" s="34" t="s">
        <v>89</v>
      </c>
      <c r="C21" s="19" t="s">
        <v>71</v>
      </c>
      <c r="D21" s="25">
        <v>948.08</v>
      </c>
      <c r="E21" s="25"/>
      <c r="F21" s="20"/>
      <c r="G21" s="20"/>
      <c r="H21" s="20"/>
      <c r="I21" s="20"/>
      <c r="J21" s="25"/>
      <c r="K21" s="20"/>
      <c r="L21" s="20"/>
      <c r="M21" s="20"/>
      <c r="N21" s="20"/>
      <c r="O21" s="20"/>
      <c r="P21" s="58">
        <f>D21+I21-L21</f>
        <v>948.08</v>
      </c>
      <c r="Q21" s="20"/>
      <c r="R21" s="14" t="s">
        <v>800</v>
      </c>
    </row>
    <row r="22" spans="1:255" x14ac:dyDescent="0.15">
      <c r="A22" s="23"/>
      <c r="B22" s="23"/>
      <c r="C22" s="26" t="s">
        <v>498</v>
      </c>
      <c r="D22" s="4"/>
      <c r="E22" s="4">
        <f>SUM(D20:D21)</f>
        <v>2948.08</v>
      </c>
      <c r="F22" s="14">
        <f>SUM(E6:E22)</f>
        <v>26546.370000000003</v>
      </c>
      <c r="G22" s="14"/>
      <c r="H22" s="14"/>
      <c r="I22" s="14"/>
      <c r="J22" s="4"/>
      <c r="K22" s="14"/>
      <c r="L22" s="14"/>
      <c r="M22" s="21"/>
      <c r="N22" s="14"/>
      <c r="O22" s="14"/>
      <c r="P22" s="14"/>
      <c r="Q22" s="14">
        <f>SUM(P8:P21)</f>
        <v>17446.370000000003</v>
      </c>
      <c r="R22" s="14"/>
      <c r="S22" s="48"/>
      <c r="T22" s="45"/>
    </row>
    <row r="23" spans="1:255" ht="12" thickBot="1" x14ac:dyDescent="0.2">
      <c r="A23" s="23"/>
      <c r="B23" s="23"/>
      <c r="C23" s="16"/>
      <c r="D23" s="4"/>
      <c r="E23" s="4"/>
      <c r="F23" s="14"/>
      <c r="G23" s="14"/>
      <c r="H23" s="14"/>
      <c r="I23" s="14"/>
      <c r="J23" s="4"/>
      <c r="K23" s="14"/>
      <c r="L23" s="14"/>
      <c r="M23" s="14"/>
      <c r="N23" s="14"/>
      <c r="O23" s="14"/>
      <c r="P23" s="14"/>
      <c r="Q23" s="14"/>
      <c r="R23" s="14"/>
    </row>
    <row r="24" spans="1:255" ht="12" thickBot="1" x14ac:dyDescent="0.2">
      <c r="A24" s="29"/>
      <c r="B24" s="29"/>
      <c r="C24" s="97" t="s">
        <v>544</v>
      </c>
      <c r="D24" s="31"/>
      <c r="E24" s="31"/>
      <c r="F24" s="15"/>
      <c r="G24" s="15"/>
      <c r="H24" s="15"/>
      <c r="I24" s="15"/>
      <c r="J24" s="31"/>
      <c r="K24" s="15"/>
      <c r="L24" s="15"/>
      <c r="M24" s="15"/>
      <c r="N24" s="15"/>
      <c r="O24" s="15"/>
      <c r="P24" s="15"/>
      <c r="Q24" s="15"/>
      <c r="R24" s="15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  <c r="IU24" s="29"/>
    </row>
    <row r="25" spans="1:255" ht="12" thickBot="1" x14ac:dyDescent="0.2">
      <c r="A25" s="16"/>
      <c r="B25" s="22"/>
      <c r="C25" s="18"/>
      <c r="D25" s="4"/>
      <c r="E25" s="4"/>
      <c r="F25" s="14"/>
      <c r="G25" s="14"/>
      <c r="H25" s="14"/>
      <c r="I25" s="14"/>
      <c r="J25" s="4"/>
      <c r="K25" s="14"/>
      <c r="L25" s="14"/>
      <c r="N25" s="14"/>
      <c r="O25" s="14"/>
      <c r="P25" s="17"/>
      <c r="Q25" s="14"/>
      <c r="R25" s="14"/>
    </row>
    <row r="26" spans="1:255" ht="12" x14ac:dyDescent="0.15">
      <c r="A26" s="16"/>
      <c r="B26" s="22"/>
      <c r="C26" s="18" t="s">
        <v>1128</v>
      </c>
      <c r="D26" s="4">
        <v>0</v>
      </c>
      <c r="E26" s="4"/>
      <c r="F26" s="14"/>
      <c r="G26" s="14"/>
      <c r="H26" s="14">
        <v>203.6</v>
      </c>
      <c r="I26" s="14"/>
      <c r="J26" s="4"/>
      <c r="K26" s="14"/>
      <c r="L26" s="14"/>
      <c r="N26" s="14"/>
      <c r="O26" s="14"/>
      <c r="P26" s="101">
        <f>D26+H26-L26</f>
        <v>203.6</v>
      </c>
      <c r="Q26" s="102"/>
      <c r="R26" s="14"/>
    </row>
    <row r="27" spans="1:255" x14ac:dyDescent="0.15">
      <c r="A27" s="16"/>
      <c r="B27" s="22"/>
      <c r="C27" s="16" t="s">
        <v>571</v>
      </c>
      <c r="D27" s="4">
        <v>0</v>
      </c>
      <c r="E27" s="4"/>
      <c r="F27" s="14"/>
      <c r="G27" s="14"/>
      <c r="H27" s="14"/>
      <c r="I27" s="46"/>
      <c r="J27" s="4"/>
      <c r="K27" s="14"/>
      <c r="M27" s="14"/>
      <c r="N27" s="14"/>
      <c r="O27" s="14"/>
      <c r="P27" s="103"/>
      <c r="Q27" s="63"/>
      <c r="R27" s="14"/>
    </row>
    <row r="28" spans="1:255" x14ac:dyDescent="0.15">
      <c r="A28" s="16"/>
      <c r="B28" s="22"/>
      <c r="C28" s="16"/>
      <c r="D28" s="4"/>
      <c r="E28" s="4"/>
      <c r="F28" s="14"/>
      <c r="G28" s="14"/>
      <c r="H28" s="14"/>
      <c r="I28" s="14"/>
      <c r="J28" s="4"/>
      <c r="K28" s="14"/>
      <c r="L28" s="14"/>
      <c r="M28" s="14"/>
      <c r="N28" s="14"/>
      <c r="O28" s="14"/>
      <c r="P28" s="103"/>
      <c r="Q28" s="63"/>
      <c r="R28" s="14"/>
    </row>
    <row r="29" spans="1:255" ht="11.5" customHeight="1" x14ac:dyDescent="0.15">
      <c r="A29" s="16" t="s">
        <v>702</v>
      </c>
      <c r="B29" s="22" t="s">
        <v>703</v>
      </c>
      <c r="C29" s="16" t="s">
        <v>670</v>
      </c>
      <c r="D29" s="4">
        <v>1806.32</v>
      </c>
      <c r="E29" s="4">
        <f>SUM(D26:D29)</f>
        <v>1806.32</v>
      </c>
      <c r="F29" s="14"/>
      <c r="G29" s="14"/>
      <c r="H29" s="14"/>
      <c r="I29" s="14"/>
      <c r="J29" s="4"/>
      <c r="K29" s="14"/>
      <c r="L29" s="14"/>
      <c r="M29" s="14"/>
      <c r="N29" s="14"/>
      <c r="O29" s="14"/>
      <c r="P29" s="103">
        <f>D29+H29-L29</f>
        <v>1806.32</v>
      </c>
      <c r="Q29" s="63"/>
      <c r="R29" s="14"/>
    </row>
    <row r="30" spans="1:255" ht="11.5" customHeight="1" x14ac:dyDescent="0.15">
      <c r="A30" s="16"/>
      <c r="B30" s="22"/>
      <c r="C30" s="16"/>
      <c r="D30" s="4"/>
      <c r="E30" s="4"/>
      <c r="F30" s="14"/>
      <c r="G30" s="14"/>
      <c r="H30" s="14"/>
      <c r="I30" s="14"/>
      <c r="J30" s="4"/>
      <c r="K30" s="14"/>
      <c r="L30" s="14"/>
      <c r="M30" s="14"/>
      <c r="N30" s="14"/>
      <c r="O30" s="14"/>
      <c r="P30" s="103"/>
      <c r="Q30" s="63"/>
      <c r="R30" s="14"/>
    </row>
    <row r="31" spans="1:255" x14ac:dyDescent="0.15">
      <c r="C31" s="34" t="s">
        <v>1264</v>
      </c>
      <c r="D31" s="14">
        <v>50000</v>
      </c>
      <c r="E31" s="14">
        <f>D31</f>
        <v>50000</v>
      </c>
      <c r="F31" s="14"/>
      <c r="H31" s="14">
        <v>15400</v>
      </c>
      <c r="I31" s="14"/>
      <c r="M31" s="14">
        <f>SUM(L29:L29)</f>
        <v>0</v>
      </c>
      <c r="P31" s="103">
        <f>D31+H31-L31</f>
        <v>65400</v>
      </c>
      <c r="Q31" s="67"/>
    </row>
    <row r="32" spans="1:255" x14ac:dyDescent="0.15">
      <c r="C32" s="34" t="s">
        <v>508</v>
      </c>
      <c r="D32" s="14"/>
      <c r="E32" s="14"/>
      <c r="F32" s="14"/>
      <c r="H32" s="14">
        <v>5000</v>
      </c>
      <c r="I32" s="14"/>
      <c r="M32" s="14"/>
      <c r="P32" s="103">
        <f>D32+H32-L32</f>
        <v>5000</v>
      </c>
      <c r="Q32" s="67"/>
    </row>
    <row r="33" spans="1:21" x14ac:dyDescent="0.15">
      <c r="H33" s="14"/>
      <c r="I33" s="14"/>
      <c r="M33" s="14"/>
      <c r="P33" s="68"/>
      <c r="Q33" s="67"/>
    </row>
    <row r="34" spans="1:21" x14ac:dyDescent="0.15">
      <c r="A34" s="16" t="s">
        <v>711</v>
      </c>
      <c r="B34" s="22" t="s">
        <v>712</v>
      </c>
      <c r="C34" s="16" t="s">
        <v>713</v>
      </c>
      <c r="D34" s="4">
        <v>1086.0899999999999</v>
      </c>
      <c r="E34" s="4"/>
      <c r="F34" s="14">
        <v>5164</v>
      </c>
      <c r="G34" s="14"/>
      <c r="I34" s="14"/>
      <c r="J34" s="4"/>
      <c r="K34" s="14"/>
      <c r="L34" s="14">
        <v>5164</v>
      </c>
      <c r="M34" s="14"/>
      <c r="N34" s="14"/>
      <c r="O34" s="14"/>
      <c r="P34" s="103">
        <f>D34+F34-L34</f>
        <v>1086.0900000000001</v>
      </c>
      <c r="Q34" s="63"/>
      <c r="R34" s="14"/>
    </row>
    <row r="35" spans="1:21" x14ac:dyDescent="0.15">
      <c r="A35" s="16" t="s">
        <v>710</v>
      </c>
      <c r="B35" s="22" t="s">
        <v>705</v>
      </c>
      <c r="C35" s="16" t="s">
        <v>699</v>
      </c>
      <c r="D35" s="4"/>
      <c r="E35" s="4"/>
      <c r="F35" s="14"/>
      <c r="G35" s="14"/>
      <c r="H35" s="14"/>
      <c r="I35" s="14"/>
      <c r="J35" s="4"/>
      <c r="K35" s="14"/>
      <c r="L35" s="14"/>
      <c r="M35" s="14"/>
      <c r="N35" s="46"/>
      <c r="O35" s="14"/>
      <c r="P35" s="103">
        <f>D35+H35+I35-L35+N35</f>
        <v>0</v>
      </c>
      <c r="Q35" s="63"/>
      <c r="R35" s="14"/>
    </row>
    <row r="36" spans="1:21" x14ac:dyDescent="0.15">
      <c r="A36" s="16" t="s">
        <v>82</v>
      </c>
      <c r="B36" s="16" t="s">
        <v>704</v>
      </c>
      <c r="C36" s="16" t="s">
        <v>157</v>
      </c>
      <c r="D36" s="24">
        <v>180.43</v>
      </c>
      <c r="E36" s="24"/>
      <c r="F36" s="14"/>
      <c r="G36" s="14"/>
      <c r="H36" s="14"/>
      <c r="J36" s="14"/>
      <c r="K36" s="14"/>
      <c r="L36" s="14"/>
      <c r="N36" s="14"/>
      <c r="O36" s="14"/>
      <c r="P36" s="103">
        <f>D36+H36-L36</f>
        <v>180.43</v>
      </c>
      <c r="Q36" s="63"/>
      <c r="R36" s="14"/>
    </row>
    <row r="37" spans="1:21" ht="12" thickBot="1" x14ac:dyDescent="0.2">
      <c r="A37" s="16"/>
      <c r="B37" s="22"/>
      <c r="C37" s="16"/>
      <c r="D37" s="4"/>
      <c r="E37" s="4">
        <f>SUM(D34:D36)</f>
        <v>1266.52</v>
      </c>
      <c r="F37" s="24"/>
      <c r="G37" s="14"/>
      <c r="H37" s="14"/>
      <c r="I37" s="14"/>
      <c r="J37" s="4"/>
      <c r="K37" s="14"/>
      <c r="L37" s="14"/>
      <c r="M37" s="14"/>
      <c r="N37" s="14"/>
      <c r="O37" s="14"/>
      <c r="P37" s="104">
        <f>D37+H37-L37</f>
        <v>0</v>
      </c>
      <c r="Q37" s="65"/>
      <c r="R37" s="14"/>
    </row>
    <row r="38" spans="1:21" x14ac:dyDescent="0.15">
      <c r="A38" s="16"/>
      <c r="B38" s="22"/>
      <c r="C38" s="16"/>
      <c r="D38" s="4"/>
      <c r="E38" s="4"/>
      <c r="F38" s="14"/>
      <c r="G38" s="14"/>
      <c r="H38" s="14"/>
      <c r="I38" s="14"/>
      <c r="J38" s="4"/>
      <c r="K38" s="14"/>
      <c r="L38" s="14"/>
      <c r="M38" s="14"/>
      <c r="N38" s="14"/>
      <c r="O38" s="14"/>
      <c r="P38" s="125"/>
      <c r="Q38" s="126">
        <f>SUM(P26:P37)</f>
        <v>73676.439999999988</v>
      </c>
      <c r="R38" s="127">
        <f>Q38</f>
        <v>73676.439999999988</v>
      </c>
    </row>
    <row r="39" spans="1:21" x14ac:dyDescent="0.15">
      <c r="H39" s="14"/>
      <c r="P39" s="68"/>
      <c r="Q39" s="67"/>
    </row>
    <row r="40" spans="1:21" ht="12" thickBot="1" x14ac:dyDescent="0.2">
      <c r="A40" s="16"/>
      <c r="B40" s="22"/>
      <c r="C40" s="16"/>
      <c r="D40" s="4"/>
      <c r="E40" s="4"/>
      <c r="F40" s="14"/>
      <c r="G40" s="14"/>
      <c r="H40" s="14"/>
      <c r="I40" s="14"/>
      <c r="J40" s="4"/>
      <c r="K40" s="14"/>
      <c r="L40" s="14"/>
      <c r="M40" s="14"/>
      <c r="N40" s="14"/>
      <c r="O40" s="14"/>
      <c r="P40" s="105"/>
      <c r="Q40" s="67"/>
    </row>
    <row r="41" spans="1:21" ht="12" thickBot="1" x14ac:dyDescent="0.2">
      <c r="A41" s="16"/>
      <c r="B41" s="22"/>
      <c r="C41" s="97" t="s">
        <v>543</v>
      </c>
      <c r="D41" s="4"/>
      <c r="E41" s="4"/>
      <c r="F41" s="14"/>
      <c r="G41" s="14"/>
      <c r="H41" s="14"/>
      <c r="I41" s="14"/>
      <c r="J41" s="4"/>
      <c r="K41" s="14"/>
      <c r="L41" s="14"/>
      <c r="M41" s="14"/>
      <c r="N41" s="14"/>
      <c r="O41" s="14"/>
      <c r="P41" s="105"/>
      <c r="Q41" s="63"/>
      <c r="R41" s="14"/>
      <c r="U41" s="14"/>
    </row>
    <row r="42" spans="1:21" x14ac:dyDescent="0.15">
      <c r="A42" s="16"/>
      <c r="B42" s="16"/>
      <c r="C42" s="16"/>
      <c r="D42" s="4"/>
      <c r="E42" s="4"/>
      <c r="F42" s="14"/>
      <c r="G42" s="14"/>
      <c r="H42" s="14"/>
      <c r="I42" s="14"/>
      <c r="J42" s="4"/>
      <c r="K42" s="14"/>
      <c r="L42" s="14"/>
      <c r="M42" s="14"/>
      <c r="N42" s="14"/>
      <c r="O42" s="14"/>
      <c r="P42" s="103"/>
      <c r="Q42" s="63"/>
      <c r="R42" s="14"/>
    </row>
    <row r="43" spans="1:21" x14ac:dyDescent="0.15">
      <c r="A43" s="16" t="s">
        <v>783</v>
      </c>
      <c r="B43" s="16"/>
      <c r="C43" s="16" t="s">
        <v>784</v>
      </c>
      <c r="D43" s="4">
        <v>50000</v>
      </c>
      <c r="E43" s="4">
        <f>D43</f>
        <v>50000</v>
      </c>
      <c r="F43" s="14"/>
      <c r="G43" s="14"/>
      <c r="H43" s="14"/>
      <c r="I43" s="14"/>
      <c r="J43" s="4"/>
      <c r="K43" s="14"/>
      <c r="L43" s="14"/>
      <c r="M43" s="14"/>
      <c r="N43" s="14"/>
      <c r="O43" s="14"/>
      <c r="P43" s="17">
        <f>D43+H43+I43-L43</f>
        <v>50000</v>
      </c>
      <c r="Q43" s="14"/>
      <c r="R43" s="14" t="s">
        <v>800</v>
      </c>
    </row>
    <row r="44" spans="1:21" x14ac:dyDescent="0.15">
      <c r="H44" s="14"/>
      <c r="P44" s="17"/>
      <c r="Q44" s="67"/>
    </row>
    <row r="45" spans="1:21" x14ac:dyDescent="0.15">
      <c r="A45" s="16" t="s">
        <v>85</v>
      </c>
      <c r="B45" s="16" t="s">
        <v>86</v>
      </c>
      <c r="C45" s="16" t="s">
        <v>84</v>
      </c>
      <c r="D45" s="4">
        <v>4250.1499999999996</v>
      </c>
      <c r="E45" s="4"/>
      <c r="F45" s="14"/>
      <c r="G45" s="14"/>
      <c r="H45" s="14">
        <v>7860.04</v>
      </c>
      <c r="I45" s="14"/>
      <c r="J45" s="4"/>
      <c r="K45" s="14"/>
      <c r="L45" s="14">
        <v>3000</v>
      </c>
      <c r="M45" s="14"/>
      <c r="N45" s="14"/>
      <c r="O45" s="14"/>
      <c r="P45" s="103">
        <f>D45+H45-L45+N45</f>
        <v>9110.1899999999987</v>
      </c>
      <c r="Q45" s="63"/>
      <c r="R45" s="14"/>
    </row>
    <row r="46" spans="1:21" x14ac:dyDescent="0.15">
      <c r="A46" s="16" t="s">
        <v>150</v>
      </c>
      <c r="B46" s="16" t="s">
        <v>78</v>
      </c>
      <c r="C46" s="16" t="s">
        <v>79</v>
      </c>
      <c r="D46" s="4">
        <v>4188.4799999999996</v>
      </c>
      <c r="E46" s="4"/>
      <c r="F46" s="14"/>
      <c r="G46" s="14"/>
      <c r="H46" s="14"/>
      <c r="I46" s="14"/>
      <c r="J46" s="4"/>
      <c r="K46" s="14"/>
      <c r="L46" s="14">
        <v>500</v>
      </c>
      <c r="M46" s="14"/>
      <c r="N46" s="14"/>
      <c r="O46" s="14"/>
      <c r="P46" s="103">
        <f>D46+H46-L46</f>
        <v>3688.4799999999996</v>
      </c>
      <c r="Q46" s="63"/>
      <c r="R46" s="14"/>
    </row>
    <row r="47" spans="1:21" x14ac:dyDescent="0.15">
      <c r="A47" s="16" t="s">
        <v>708</v>
      </c>
      <c r="B47" s="16"/>
      <c r="C47" s="16" t="s">
        <v>671</v>
      </c>
      <c r="D47" s="4">
        <v>119</v>
      </c>
      <c r="E47" s="4"/>
      <c r="F47" s="14"/>
      <c r="G47" s="14"/>
      <c r="H47" s="14"/>
      <c r="I47" s="14"/>
      <c r="J47" s="4"/>
      <c r="K47" s="14"/>
      <c r="L47" s="14"/>
      <c r="M47" s="14"/>
      <c r="N47" s="14"/>
      <c r="O47" s="14"/>
      <c r="P47" s="103">
        <f>D47+H47-L47</f>
        <v>119</v>
      </c>
      <c r="Q47" s="63"/>
      <c r="R47" s="14"/>
    </row>
    <row r="48" spans="1:21" x14ac:dyDescent="0.15">
      <c r="A48" s="16" t="s">
        <v>2333</v>
      </c>
      <c r="B48" s="16"/>
      <c r="C48" s="16" t="s">
        <v>2334</v>
      </c>
      <c r="D48" s="4"/>
      <c r="E48" s="4"/>
      <c r="F48" s="14"/>
      <c r="G48" s="14"/>
      <c r="H48" s="14">
        <v>150</v>
      </c>
      <c r="I48" s="14"/>
      <c r="J48" s="4"/>
      <c r="K48" s="14"/>
      <c r="L48" s="14"/>
      <c r="M48" s="14"/>
      <c r="N48" s="14"/>
      <c r="O48" s="14"/>
      <c r="P48" s="103"/>
      <c r="Q48" s="63"/>
      <c r="R48" s="14"/>
    </row>
    <row r="49" spans="1:21" x14ac:dyDescent="0.15">
      <c r="A49" s="16" t="s">
        <v>154</v>
      </c>
      <c r="B49" s="16" t="s">
        <v>80</v>
      </c>
      <c r="C49" s="16" t="s">
        <v>541</v>
      </c>
      <c r="D49" s="4">
        <v>5575.67</v>
      </c>
      <c r="E49" s="4"/>
      <c r="F49" s="14"/>
      <c r="G49" s="14"/>
      <c r="H49" s="14"/>
      <c r="I49" s="14"/>
      <c r="J49" s="4"/>
      <c r="K49" s="14"/>
      <c r="L49" s="14"/>
      <c r="M49" s="14"/>
      <c r="N49" s="14"/>
      <c r="O49" s="14"/>
      <c r="P49" s="103">
        <f>D49+H49-L49</f>
        <v>5575.67</v>
      </c>
      <c r="Q49" s="63"/>
      <c r="R49" s="14"/>
    </row>
    <row r="50" spans="1:21" ht="12" thickBot="1" x14ac:dyDescent="0.2">
      <c r="A50" s="16" t="s">
        <v>77</v>
      </c>
      <c r="B50" s="16" t="s">
        <v>78</v>
      </c>
      <c r="C50" s="16" t="s">
        <v>612</v>
      </c>
      <c r="D50" s="25">
        <v>7625.26</v>
      </c>
      <c r="E50" s="25"/>
      <c r="F50" s="14"/>
      <c r="G50" s="14"/>
      <c r="H50" s="14"/>
      <c r="I50" s="14"/>
      <c r="J50" s="4"/>
      <c r="K50" s="14"/>
      <c r="L50" s="14"/>
      <c r="M50" s="14"/>
      <c r="N50" s="14"/>
      <c r="O50" s="14"/>
      <c r="P50" s="103">
        <f>D50+H50-L50</f>
        <v>7625.26</v>
      </c>
      <c r="Q50" s="63"/>
      <c r="R50" s="14"/>
    </row>
    <row r="51" spans="1:21" x14ac:dyDescent="0.15">
      <c r="E51" s="14">
        <f>SUM(D45:D50)</f>
        <v>21758.559999999998</v>
      </c>
      <c r="F51" s="14"/>
      <c r="H51" s="14"/>
      <c r="P51" s="68"/>
      <c r="Q51" s="67"/>
    </row>
    <row r="52" spans="1:21" x14ac:dyDescent="0.15">
      <c r="A52" s="16" t="s">
        <v>83</v>
      </c>
      <c r="B52" s="16" t="s">
        <v>658</v>
      </c>
      <c r="C52" s="16" t="s">
        <v>147</v>
      </c>
      <c r="D52" s="4">
        <v>1191.6600000000001</v>
      </c>
      <c r="E52" s="4"/>
      <c r="F52" s="14"/>
      <c r="G52" s="14"/>
      <c r="H52" s="14">
        <v>323.92</v>
      </c>
      <c r="I52" s="14"/>
      <c r="J52" s="4"/>
      <c r="K52" s="14"/>
      <c r="L52" s="14">
        <v>1515.58</v>
      </c>
      <c r="M52" s="14"/>
      <c r="N52" s="14"/>
      <c r="O52" s="14"/>
      <c r="P52" s="103">
        <f>D52+H52-L52</f>
        <v>0</v>
      </c>
      <c r="Q52" s="63"/>
      <c r="R52" s="14"/>
    </row>
    <row r="53" spans="1:21" x14ac:dyDescent="0.15">
      <c r="A53" s="16" t="s">
        <v>72</v>
      </c>
      <c r="B53" s="16" t="s">
        <v>73</v>
      </c>
      <c r="C53" s="16" t="s">
        <v>74</v>
      </c>
      <c r="D53" s="14">
        <v>10564.96</v>
      </c>
      <c r="E53" s="14"/>
      <c r="F53" s="14"/>
      <c r="G53" s="14"/>
      <c r="H53" s="14">
        <v>311</v>
      </c>
      <c r="I53" s="14"/>
      <c r="J53" s="14"/>
      <c r="K53" s="14"/>
      <c r="L53" s="14"/>
      <c r="M53" s="14"/>
      <c r="N53" s="14"/>
      <c r="O53" s="14"/>
      <c r="P53" s="103">
        <f>D53+H53-L53</f>
        <v>10875.96</v>
      </c>
      <c r="Q53" s="63"/>
      <c r="R53" s="14"/>
    </row>
    <row r="54" spans="1:21" x14ac:dyDescent="0.15">
      <c r="A54" s="16" t="s">
        <v>75</v>
      </c>
      <c r="B54" s="16" t="s">
        <v>76</v>
      </c>
      <c r="C54" s="16" t="s">
        <v>155</v>
      </c>
      <c r="D54" s="4">
        <v>1200.28</v>
      </c>
      <c r="E54" s="4"/>
      <c r="F54" s="14"/>
      <c r="G54" s="14"/>
      <c r="H54" s="14"/>
      <c r="I54" s="14"/>
      <c r="J54" s="4"/>
      <c r="K54" s="14"/>
      <c r="L54" s="14"/>
      <c r="M54" s="14"/>
      <c r="N54" s="14"/>
      <c r="O54" s="14"/>
      <c r="P54" s="103">
        <f>D54+H54-L54</f>
        <v>1200.28</v>
      </c>
      <c r="Q54" s="63"/>
      <c r="R54" s="14"/>
    </row>
    <row r="55" spans="1:21" x14ac:dyDescent="0.15">
      <c r="A55" s="16" t="s">
        <v>707</v>
      </c>
      <c r="B55" s="16" t="s">
        <v>706</v>
      </c>
      <c r="C55" s="16" t="s">
        <v>81</v>
      </c>
      <c r="D55" s="4">
        <v>2631.45</v>
      </c>
      <c r="E55" s="4"/>
      <c r="F55" s="14"/>
      <c r="G55" s="14"/>
      <c r="H55" s="14"/>
      <c r="I55" s="14"/>
      <c r="J55" s="4"/>
      <c r="K55" s="14"/>
      <c r="L55" s="14"/>
      <c r="M55" s="14"/>
      <c r="N55" s="14"/>
      <c r="O55" s="14"/>
      <c r="P55" s="103">
        <f>D55+H55-L55</f>
        <v>2631.45</v>
      </c>
      <c r="Q55" s="63"/>
      <c r="R55" s="14"/>
    </row>
    <row r="56" spans="1:21" x14ac:dyDescent="0.15">
      <c r="H56" s="14"/>
      <c r="P56" s="68"/>
      <c r="Q56" s="67"/>
    </row>
    <row r="57" spans="1:21" x14ac:dyDescent="0.15">
      <c r="A57" s="16" t="s">
        <v>707</v>
      </c>
      <c r="B57" s="16"/>
      <c r="C57" s="16" t="s">
        <v>151</v>
      </c>
      <c r="D57" s="4">
        <v>335.93000000000029</v>
      </c>
      <c r="E57" s="4"/>
      <c r="F57" s="14"/>
      <c r="G57" s="14"/>
      <c r="H57" s="14"/>
      <c r="I57" s="14"/>
      <c r="J57" s="4"/>
      <c r="K57" s="14"/>
      <c r="L57" s="14"/>
      <c r="M57" s="14"/>
      <c r="N57" s="14"/>
      <c r="O57" s="14"/>
      <c r="P57" s="103">
        <f>D57+H57-L57</f>
        <v>335.93000000000029</v>
      </c>
      <c r="Q57" s="63"/>
      <c r="R57" s="14"/>
    </row>
    <row r="58" spans="1:21" ht="12" thickBot="1" x14ac:dyDescent="0.2">
      <c r="A58" s="16" t="s">
        <v>709</v>
      </c>
      <c r="B58" s="16"/>
      <c r="C58" s="16" t="s">
        <v>148</v>
      </c>
      <c r="D58" s="25">
        <v>1342.15</v>
      </c>
      <c r="E58" s="25"/>
      <c r="F58" s="14"/>
      <c r="G58" s="14"/>
      <c r="H58" s="14"/>
      <c r="I58" s="14"/>
      <c r="J58" s="4"/>
      <c r="K58" s="14"/>
      <c r="L58" s="14"/>
      <c r="M58" s="14"/>
      <c r="N58" s="14"/>
      <c r="O58" s="14"/>
      <c r="P58" s="103">
        <f>D58+H58-L58</f>
        <v>1342.15</v>
      </c>
      <c r="Q58" s="63">
        <f>SUM(P42:P58)</f>
        <v>92504.37</v>
      </c>
      <c r="R58" s="14">
        <f>Q58</f>
        <v>92504.37</v>
      </c>
      <c r="U58" s="14">
        <f>SUM(R27:R58)</f>
        <v>166180.81</v>
      </c>
    </row>
    <row r="59" spans="1:21" ht="12" thickBot="1" x14ac:dyDescent="0.2">
      <c r="E59" s="14">
        <f>SUM(D52:D58)</f>
        <v>17266.43</v>
      </c>
      <c r="F59" s="14"/>
      <c r="H59" s="14"/>
      <c r="P59" s="106"/>
      <c r="Q59" s="88"/>
    </row>
    <row r="60" spans="1:21" x14ac:dyDescent="0.15">
      <c r="A60" s="16"/>
      <c r="B60" s="16"/>
      <c r="C60" s="16"/>
      <c r="D60" s="4"/>
      <c r="E60" s="4"/>
      <c r="F60" s="14"/>
      <c r="G60" s="14"/>
      <c r="H60" s="14"/>
      <c r="I60" s="14"/>
      <c r="J60" s="4"/>
      <c r="K60" s="14"/>
      <c r="L60" s="14"/>
      <c r="M60" s="14"/>
      <c r="N60" s="14"/>
      <c r="O60" s="14"/>
      <c r="P60" s="17">
        <f>D60+F60-K60-M60</f>
        <v>0</v>
      </c>
      <c r="Q60" s="14"/>
      <c r="R60" s="14"/>
    </row>
    <row r="61" spans="1:21" x14ac:dyDescent="0.15">
      <c r="A61" s="16"/>
      <c r="B61" s="16"/>
      <c r="C61" s="16"/>
      <c r="D61" s="4"/>
      <c r="E61" s="4"/>
      <c r="F61" s="14">
        <f>SUM(D25:D58)</f>
        <v>142097.82999999999</v>
      </c>
      <c r="G61" s="14"/>
      <c r="H61" s="14"/>
      <c r="I61" s="14"/>
      <c r="J61" s="4"/>
      <c r="K61" s="14"/>
      <c r="L61" s="14"/>
      <c r="M61" s="14"/>
      <c r="N61" s="14"/>
      <c r="O61" s="14"/>
      <c r="P61" s="17"/>
      <c r="Q61" s="14"/>
      <c r="R61" s="14"/>
    </row>
    <row r="62" spans="1:21" x14ac:dyDescent="0.15">
      <c r="A62" s="16"/>
      <c r="B62" s="16"/>
      <c r="C62" s="16"/>
      <c r="D62" s="4"/>
      <c r="E62" s="4"/>
      <c r="F62" s="14"/>
      <c r="G62" s="14"/>
      <c r="H62" s="14"/>
      <c r="I62" s="14"/>
      <c r="J62" s="4"/>
      <c r="K62" s="14"/>
      <c r="L62" s="14"/>
      <c r="M62" s="14"/>
      <c r="N62" s="14"/>
      <c r="O62" s="14"/>
      <c r="P62" s="17"/>
      <c r="Q62" s="14"/>
      <c r="R62" s="14"/>
    </row>
    <row r="63" spans="1:21" x14ac:dyDescent="0.15">
      <c r="A63" s="16"/>
      <c r="B63" s="16"/>
      <c r="C63" s="16"/>
      <c r="D63" s="4"/>
      <c r="E63" s="4"/>
      <c r="F63" s="14"/>
      <c r="G63" s="14"/>
      <c r="H63" s="14"/>
      <c r="I63" s="14"/>
      <c r="J63" s="4"/>
      <c r="K63" s="14"/>
      <c r="L63" s="14"/>
      <c r="M63" s="14"/>
      <c r="N63" s="14"/>
      <c r="O63" s="14"/>
      <c r="P63" s="17"/>
      <c r="Q63" s="14"/>
      <c r="R63" s="14"/>
    </row>
    <row r="64" spans="1:21" x14ac:dyDescent="0.15">
      <c r="A64" s="16"/>
      <c r="B64" s="16"/>
      <c r="C64" s="26"/>
      <c r="D64" s="4"/>
      <c r="E64" s="4"/>
      <c r="F64" s="14"/>
      <c r="G64" s="14"/>
      <c r="H64" s="14"/>
      <c r="I64" s="14"/>
      <c r="J64" s="4"/>
      <c r="K64" s="14"/>
      <c r="L64" s="14"/>
      <c r="M64" s="14"/>
      <c r="N64" s="14"/>
      <c r="O64" s="14"/>
      <c r="P64" s="14"/>
      <c r="Q64" s="14"/>
      <c r="R64" s="14"/>
    </row>
    <row r="65" spans="1:255" ht="12" thickBot="1" x14ac:dyDescent="0.2">
      <c r="A65" s="16"/>
      <c r="B65" s="16"/>
      <c r="C65" s="4" t="s">
        <v>87</v>
      </c>
      <c r="D65" s="25">
        <v>20482.009999999998</v>
      </c>
      <c r="E65" s="25"/>
      <c r="F65" s="14"/>
      <c r="G65" s="14"/>
      <c r="H65" s="14"/>
      <c r="I65" s="14"/>
      <c r="J65" s="4"/>
      <c r="K65" s="14"/>
      <c r="L65" s="14"/>
      <c r="M65" s="14"/>
      <c r="N65" s="14"/>
      <c r="O65" s="14"/>
      <c r="P65" s="17">
        <f>D65+H65-L65</f>
        <v>20482.009999999998</v>
      </c>
      <c r="Q65" s="24">
        <f>P65</f>
        <v>20482.009999999998</v>
      </c>
      <c r="R65" s="24"/>
      <c r="S65" s="54"/>
    </row>
    <row r="66" spans="1:255" ht="12" thickBot="1" x14ac:dyDescent="0.2">
      <c r="A66" s="16"/>
      <c r="B66" s="16"/>
      <c r="C66" s="16"/>
      <c r="D66" s="4"/>
      <c r="E66" s="4">
        <f>D65</f>
        <v>20482.009999999998</v>
      </c>
      <c r="F66" s="24">
        <f>E66</f>
        <v>20482.009999999998</v>
      </c>
      <c r="G66" s="14"/>
      <c r="H66" s="14"/>
      <c r="I66" s="14"/>
      <c r="J66" s="4"/>
      <c r="K66" s="14"/>
      <c r="L66" s="14"/>
      <c r="M66" s="14"/>
      <c r="N66" s="14"/>
      <c r="O66" s="14"/>
      <c r="P66" s="14"/>
      <c r="Q66" s="14"/>
      <c r="R66" s="14"/>
      <c r="S66" s="14">
        <f>SUM(Q38:Q65)</f>
        <v>186662.82</v>
      </c>
    </row>
    <row r="67" spans="1:255" ht="12" thickBot="1" x14ac:dyDescent="0.2">
      <c r="A67" s="16"/>
      <c r="B67" s="16"/>
      <c r="C67" s="16"/>
      <c r="D67" s="4"/>
      <c r="E67" s="28"/>
      <c r="G67" s="14"/>
      <c r="H67" s="14"/>
      <c r="I67" s="14"/>
      <c r="J67" s="4"/>
      <c r="K67" s="14"/>
      <c r="L67" s="14"/>
      <c r="M67" s="14"/>
      <c r="N67" s="14"/>
      <c r="O67" s="14"/>
      <c r="P67" s="14"/>
      <c r="Q67" s="14"/>
      <c r="R67" s="14"/>
      <c r="S67" s="14"/>
    </row>
    <row r="68" spans="1:255" x14ac:dyDescent="0.15">
      <c r="A68" s="16"/>
      <c r="B68" s="16"/>
      <c r="C68" s="16"/>
      <c r="D68" s="4"/>
      <c r="E68" s="4"/>
      <c r="F68" s="14"/>
      <c r="G68" s="14"/>
      <c r="H68" s="14"/>
      <c r="I68" s="14"/>
      <c r="J68" s="4"/>
      <c r="K68" s="14"/>
      <c r="L68" s="14"/>
      <c r="M68" s="14"/>
      <c r="N68" s="14"/>
      <c r="O68" s="14"/>
      <c r="P68" s="14"/>
      <c r="Q68" s="14"/>
      <c r="R68" s="14"/>
      <c r="S68" s="14"/>
    </row>
    <row r="69" spans="1:255" x14ac:dyDescent="0.15">
      <c r="A69" s="16"/>
      <c r="B69" s="16"/>
      <c r="C69" s="16" t="s">
        <v>499</v>
      </c>
      <c r="D69" s="4">
        <v>65537.53</v>
      </c>
      <c r="E69" s="4"/>
      <c r="F69" s="14"/>
      <c r="G69" s="14"/>
      <c r="H69" s="14"/>
      <c r="I69" s="14"/>
      <c r="J69" s="4"/>
      <c r="K69" s="14"/>
      <c r="L69" s="14"/>
      <c r="M69" s="14"/>
      <c r="N69" s="14"/>
      <c r="O69" s="14"/>
      <c r="P69" s="17">
        <f>D69+H69-L69</f>
        <v>65537.53</v>
      </c>
      <c r="Q69" s="14"/>
      <c r="R69" s="14"/>
    </row>
    <row r="70" spans="1:255" ht="12" thickBot="1" x14ac:dyDescent="0.2">
      <c r="A70" s="16"/>
      <c r="B70" s="16"/>
      <c r="C70" s="16" t="s">
        <v>500</v>
      </c>
      <c r="D70" s="25">
        <v>505</v>
      </c>
      <c r="E70" s="25"/>
      <c r="F70" s="14"/>
      <c r="G70" s="14"/>
      <c r="H70" s="14"/>
      <c r="I70" s="14"/>
      <c r="J70" s="4"/>
      <c r="K70" s="14"/>
      <c r="L70" s="14"/>
      <c r="M70" s="14"/>
      <c r="N70" s="14"/>
      <c r="O70" s="14"/>
      <c r="P70" s="17">
        <f>D70+H70-L70</f>
        <v>505</v>
      </c>
      <c r="Q70" s="24"/>
      <c r="R70" s="14"/>
    </row>
    <row r="71" spans="1:255" ht="12" thickBot="1" x14ac:dyDescent="0.2">
      <c r="A71" s="16"/>
      <c r="B71" s="16"/>
      <c r="C71" s="16"/>
      <c r="D71" s="4"/>
      <c r="E71" s="4">
        <f>SUM(D69:D70)</f>
        <v>66042.53</v>
      </c>
      <c r="F71" s="14"/>
      <c r="G71" s="14"/>
      <c r="H71" s="14"/>
      <c r="I71" s="14"/>
      <c r="J71" s="4"/>
      <c r="K71" s="14"/>
      <c r="L71" s="14"/>
      <c r="M71" s="14"/>
      <c r="N71" s="14"/>
      <c r="O71" s="14"/>
      <c r="P71" s="14"/>
      <c r="Q71" s="20">
        <f>SUM(P69:P70)</f>
        <v>66042.53</v>
      </c>
      <c r="R71" s="14"/>
    </row>
    <row r="72" spans="1:255" x14ac:dyDescent="0.15">
      <c r="A72" s="16"/>
      <c r="B72" s="16"/>
      <c r="C72" s="16"/>
      <c r="D72" s="4"/>
      <c r="E72" s="4"/>
      <c r="F72" s="14"/>
      <c r="G72" s="14"/>
      <c r="H72" s="14"/>
      <c r="I72" s="14"/>
      <c r="J72" s="4"/>
      <c r="K72" s="14"/>
      <c r="L72" s="14"/>
      <c r="M72" s="14"/>
      <c r="N72" s="14"/>
      <c r="O72" s="14"/>
      <c r="P72" s="14"/>
      <c r="Q72" s="14"/>
      <c r="R72" s="14"/>
      <c r="S72" s="14"/>
    </row>
    <row r="73" spans="1:255" x14ac:dyDescent="0.15">
      <c r="A73" s="16"/>
      <c r="B73" s="16"/>
      <c r="C73" s="16"/>
      <c r="D73" s="4"/>
      <c r="E73" s="4"/>
      <c r="F73" s="14"/>
      <c r="G73" s="14"/>
      <c r="H73" s="14"/>
      <c r="I73" s="14"/>
      <c r="J73" s="4"/>
      <c r="K73" s="14"/>
      <c r="L73" s="14"/>
      <c r="M73" s="14"/>
      <c r="N73" s="14"/>
      <c r="O73" s="14"/>
      <c r="P73" s="14"/>
      <c r="Q73" s="14"/>
      <c r="R73" s="14"/>
    </row>
    <row r="74" spans="1:255" x14ac:dyDescent="0.15">
      <c r="A74" s="16"/>
      <c r="B74" s="16"/>
      <c r="C74" s="16" t="s">
        <v>785</v>
      </c>
      <c r="D74" s="4"/>
      <c r="E74" s="4"/>
      <c r="F74" s="14"/>
      <c r="G74" s="14"/>
      <c r="H74" s="14"/>
      <c r="I74" s="14"/>
      <c r="J74" s="4"/>
      <c r="K74" s="14"/>
      <c r="L74" s="14"/>
      <c r="M74" s="14"/>
      <c r="N74" s="14"/>
      <c r="O74" s="14"/>
      <c r="P74" s="14"/>
      <c r="Q74" s="14"/>
      <c r="R74" s="14"/>
    </row>
    <row r="75" spans="1:255" x14ac:dyDescent="0.15">
      <c r="A75" s="23"/>
      <c r="B75" s="23"/>
      <c r="C75" s="16"/>
      <c r="D75" s="4"/>
      <c r="E75" s="4"/>
      <c r="F75" s="14"/>
      <c r="G75" s="14"/>
      <c r="H75" s="14"/>
      <c r="I75" s="14"/>
      <c r="J75" s="4"/>
      <c r="K75" s="14"/>
      <c r="L75" s="14"/>
      <c r="M75" s="14"/>
      <c r="N75" s="14"/>
      <c r="O75" s="14"/>
      <c r="P75" s="14"/>
      <c r="Q75" s="14"/>
      <c r="R75" s="14"/>
    </row>
    <row r="76" spans="1:255" x14ac:dyDescent="0.15">
      <c r="A76" s="29"/>
      <c r="B76" s="29"/>
      <c r="C76" s="30" t="s">
        <v>90</v>
      </c>
      <c r="D76" s="31"/>
      <c r="E76" s="31"/>
      <c r="F76" s="15"/>
      <c r="G76" s="15"/>
      <c r="H76" s="15"/>
      <c r="I76" s="15"/>
      <c r="J76" s="31"/>
      <c r="K76" s="15"/>
      <c r="L76" s="15"/>
      <c r="M76" s="15"/>
      <c r="N76" s="15"/>
      <c r="O76" s="15"/>
      <c r="P76" s="15"/>
      <c r="Q76" s="15"/>
      <c r="R76" s="15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29"/>
      <c r="ET76" s="29"/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29"/>
      <c r="FF76" s="29"/>
      <c r="FG76" s="29"/>
      <c r="FH76" s="29"/>
      <c r="FI76" s="29"/>
      <c r="FJ76" s="29"/>
      <c r="FK76" s="29"/>
      <c r="FL76" s="29"/>
      <c r="FM76" s="29"/>
      <c r="FN76" s="29"/>
      <c r="FO76" s="29"/>
      <c r="FP76" s="29"/>
      <c r="FQ76" s="29"/>
      <c r="FR76" s="29"/>
      <c r="FS76" s="29"/>
      <c r="FT76" s="29"/>
      <c r="FU76" s="29"/>
      <c r="FV76" s="29"/>
      <c r="FW76" s="29"/>
      <c r="FX76" s="29"/>
      <c r="FY76" s="29"/>
      <c r="FZ76" s="29"/>
      <c r="GA76" s="29"/>
      <c r="GB76" s="29"/>
      <c r="GC76" s="29"/>
      <c r="GD76" s="29"/>
      <c r="GE76" s="29"/>
      <c r="GF76" s="29"/>
      <c r="GG76" s="29"/>
      <c r="GH76" s="29"/>
      <c r="GI76" s="29"/>
      <c r="GJ76" s="29"/>
      <c r="GK76" s="29"/>
      <c r="GL76" s="29"/>
      <c r="GM76" s="29"/>
      <c r="GN76" s="29"/>
      <c r="GO76" s="29"/>
      <c r="GP76" s="29"/>
      <c r="GQ76" s="29"/>
      <c r="GR76" s="29"/>
      <c r="GS76" s="29"/>
      <c r="GT76" s="29"/>
      <c r="GU76" s="29"/>
      <c r="GV76" s="29"/>
      <c r="GW76" s="29"/>
      <c r="GX76" s="29"/>
      <c r="GY76" s="29"/>
      <c r="GZ76" s="29"/>
      <c r="HA76" s="29"/>
      <c r="HB76" s="29"/>
      <c r="HC76" s="29"/>
      <c r="HD76" s="29"/>
      <c r="HE76" s="29"/>
      <c r="HF76" s="29"/>
      <c r="HG76" s="29"/>
      <c r="HH76" s="29"/>
      <c r="HI76" s="29"/>
      <c r="HJ76" s="29"/>
      <c r="HK76" s="29"/>
      <c r="HL76" s="29"/>
      <c r="HM76" s="29"/>
      <c r="HN76" s="29"/>
      <c r="HO76" s="29"/>
      <c r="HP76" s="29"/>
      <c r="HQ76" s="29"/>
      <c r="HR76" s="29"/>
      <c r="HS76" s="29"/>
      <c r="HT76" s="29"/>
      <c r="HU76" s="29"/>
      <c r="HV76" s="29"/>
      <c r="HW76" s="29"/>
      <c r="HX76" s="29"/>
      <c r="HY76" s="29"/>
      <c r="HZ76" s="29"/>
      <c r="IA76" s="29"/>
      <c r="IB76" s="29"/>
      <c r="IC76" s="29"/>
      <c r="ID76" s="29"/>
      <c r="IE76" s="29"/>
      <c r="IF76" s="29"/>
      <c r="IG76" s="29"/>
      <c r="IH76" s="29"/>
      <c r="II76" s="29"/>
      <c r="IJ76" s="29"/>
      <c r="IK76" s="29"/>
      <c r="IL76" s="29"/>
      <c r="IM76" s="29"/>
      <c r="IN76" s="29"/>
      <c r="IO76" s="29"/>
      <c r="IP76" s="29"/>
      <c r="IQ76" s="29"/>
      <c r="IR76" s="29"/>
      <c r="IS76" s="29"/>
      <c r="IT76" s="29"/>
      <c r="IU76" s="29"/>
    </row>
    <row r="77" spans="1:255" x14ac:dyDescent="0.15">
      <c r="A77" s="16"/>
      <c r="B77" s="22"/>
      <c r="C77" s="16" t="s">
        <v>91</v>
      </c>
      <c r="D77" s="4">
        <v>52957.62</v>
      </c>
      <c r="E77" s="4"/>
      <c r="F77" s="14"/>
      <c r="G77" s="14"/>
      <c r="H77" s="14"/>
      <c r="I77" s="14"/>
      <c r="J77" s="4"/>
      <c r="K77" s="14"/>
      <c r="L77" s="14"/>
      <c r="M77" s="14"/>
      <c r="N77" s="14"/>
      <c r="O77" s="14"/>
      <c r="P77" s="14">
        <f>SUM(D77:N77)</f>
        <v>52957.62</v>
      </c>
      <c r="Q77" s="14"/>
      <c r="R77" s="14"/>
    </row>
    <row r="78" spans="1:255" x14ac:dyDescent="0.15">
      <c r="A78" s="16"/>
      <c r="B78" s="22" t="s">
        <v>92</v>
      </c>
      <c r="C78" s="16" t="s">
        <v>93</v>
      </c>
      <c r="D78" s="4">
        <v>26800</v>
      </c>
      <c r="E78" s="4">
        <f>SUM(D77:D78)</f>
        <v>79757.62</v>
      </c>
      <c r="F78" s="14"/>
      <c r="G78" s="14"/>
      <c r="H78" s="14"/>
      <c r="I78" s="14"/>
      <c r="J78" s="4"/>
      <c r="K78" s="14"/>
      <c r="L78" s="14"/>
      <c r="M78" s="14"/>
      <c r="O78" s="14"/>
      <c r="P78" s="14">
        <f>D78+H78</f>
        <v>26800</v>
      </c>
      <c r="Q78" s="14">
        <f>SUM(P77:P78)</f>
        <v>79757.62</v>
      </c>
      <c r="R78" s="14"/>
    </row>
    <row r="79" spans="1:255" ht="12" thickBot="1" x14ac:dyDescent="0.2">
      <c r="A79" s="16"/>
      <c r="B79" s="16"/>
      <c r="C79" s="16"/>
      <c r="D79" s="4"/>
      <c r="E79" s="4"/>
      <c r="F79" s="14"/>
      <c r="G79" s="14"/>
      <c r="H79" s="14"/>
      <c r="I79" s="14"/>
      <c r="J79" s="4"/>
      <c r="K79" s="14"/>
      <c r="L79" s="14"/>
      <c r="M79" s="14"/>
      <c r="N79" s="14"/>
      <c r="O79" s="14"/>
      <c r="P79" s="14"/>
      <c r="Q79" s="14"/>
      <c r="R79" s="14"/>
    </row>
    <row r="80" spans="1:255" ht="12" thickBot="1" x14ac:dyDescent="0.2">
      <c r="A80" s="16"/>
      <c r="B80" s="16" t="s">
        <v>94</v>
      </c>
      <c r="C80" s="16"/>
      <c r="D80" s="32">
        <f>SUM(D6:D78)</f>
        <v>346763.72000000003</v>
      </c>
      <c r="E80" s="32">
        <f>SUM(E22:E78)</f>
        <v>311328.07</v>
      </c>
      <c r="F80" s="14">
        <f>SUM(F59:F66)</f>
        <v>162579.84</v>
      </c>
      <c r="G80" s="47"/>
      <c r="H80" s="32">
        <f>SUM(H11:H79)</f>
        <v>29248.559999999998</v>
      </c>
      <c r="I80" s="32"/>
      <c r="J80" s="32"/>
      <c r="K80" s="47">
        <f>SUM(K18:K79)</f>
        <v>0</v>
      </c>
      <c r="L80" s="47">
        <f>SUM(L14:L76)</f>
        <v>19279.580000000002</v>
      </c>
      <c r="M80" s="32"/>
      <c r="N80" s="32">
        <f>SUM(N5:N79)</f>
        <v>0</v>
      </c>
      <c r="O80" s="32"/>
      <c r="P80" s="32">
        <f>SUM(P6:P78)</f>
        <v>349909.34</v>
      </c>
      <c r="Q80" s="32"/>
      <c r="R80" s="4"/>
    </row>
    <row r="81" spans="1:18" x14ac:dyDescent="0.15">
      <c r="A81" s="27"/>
      <c r="B81" s="27"/>
      <c r="C81" s="27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</row>
    <row r="82" spans="1:18" x14ac:dyDescent="0.15">
      <c r="A82" s="27"/>
      <c r="B82" s="27"/>
      <c r="C82" s="27"/>
      <c r="D82" s="14"/>
      <c r="E82" s="14"/>
      <c r="F82" s="14"/>
      <c r="G82" s="14"/>
      <c r="H82" s="14">
        <f>SUM(H80)</f>
        <v>29248.559999999998</v>
      </c>
      <c r="I82" s="14"/>
      <c r="J82" s="14"/>
      <c r="K82" s="14"/>
      <c r="L82" s="46">
        <f>SUM(K80:L80)</f>
        <v>19279.580000000002</v>
      </c>
      <c r="N82" s="14"/>
      <c r="O82" s="14"/>
      <c r="P82" s="14"/>
      <c r="Q82" s="14"/>
      <c r="R82" s="14"/>
    </row>
    <row r="83" spans="1:18" x14ac:dyDescent="0.15">
      <c r="A83" s="27"/>
      <c r="B83" s="27"/>
      <c r="C83" s="27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</row>
    <row r="84" spans="1:18" ht="0.5" customHeight="1" x14ac:dyDescent="0.15"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</row>
    <row r="85" spans="1:18" x14ac:dyDescent="0.15">
      <c r="C85" s="23"/>
      <c r="H85" s="14"/>
      <c r="K85" s="14"/>
      <c r="L85" s="14">
        <v>0</v>
      </c>
      <c r="M85" s="14"/>
    </row>
    <row r="86" spans="1:18" x14ac:dyDescent="0.15">
      <c r="C86" s="23"/>
      <c r="E86" s="14"/>
      <c r="F86" s="14"/>
      <c r="H86" s="14"/>
    </row>
    <row r="87" spans="1:18" x14ac:dyDescent="0.15">
      <c r="C87" s="23"/>
      <c r="E87" s="59"/>
      <c r="F87" s="53"/>
      <c r="G87" s="53"/>
      <c r="H87" s="59"/>
      <c r="I87" s="27"/>
      <c r="J87" s="27"/>
      <c r="K87" s="27"/>
      <c r="L87" s="53"/>
      <c r="M87" s="27"/>
      <c r="N87" s="27"/>
      <c r="O87" s="27"/>
      <c r="P87" s="27"/>
    </row>
    <row r="88" spans="1:18" x14ac:dyDescent="0.15">
      <c r="C88" s="23"/>
      <c r="E88" s="14"/>
      <c r="F88" s="14"/>
      <c r="H88" s="14"/>
    </row>
    <row r="89" spans="1:18" x14ac:dyDescent="0.15">
      <c r="C89" s="23"/>
      <c r="E89" s="14"/>
      <c r="F89" s="14"/>
      <c r="H89" s="14"/>
    </row>
    <row r="90" spans="1:18" x14ac:dyDescent="0.15">
      <c r="C90" s="23"/>
      <c r="E90" s="14"/>
      <c r="F90" s="14"/>
      <c r="H90" s="14"/>
    </row>
    <row r="91" spans="1:18" x14ac:dyDescent="0.15">
      <c r="C91" s="23"/>
      <c r="E91" s="14"/>
      <c r="F91" s="14"/>
      <c r="H91" s="14"/>
    </row>
    <row r="92" spans="1:18" x14ac:dyDescent="0.15">
      <c r="C92" s="23"/>
      <c r="E92" s="14"/>
      <c r="F92" s="14"/>
      <c r="H92" s="14"/>
    </row>
    <row r="93" spans="1:18" x14ac:dyDescent="0.15">
      <c r="C93" s="23"/>
      <c r="E93" s="14"/>
      <c r="F93" s="14"/>
      <c r="H93" s="14"/>
    </row>
    <row r="94" spans="1:18" x14ac:dyDescent="0.15">
      <c r="C94" s="23"/>
      <c r="E94" s="14"/>
      <c r="F94" s="14"/>
      <c r="H94" s="14"/>
    </row>
    <row r="95" spans="1:18" x14ac:dyDescent="0.15">
      <c r="C95" s="23"/>
      <c r="E95" s="14"/>
      <c r="F95" s="14"/>
      <c r="H95" s="14"/>
    </row>
    <row r="96" spans="1:18" x14ac:dyDescent="0.15">
      <c r="C96" s="23"/>
      <c r="E96" s="14"/>
      <c r="F96" s="14"/>
      <c r="H96" s="14"/>
    </row>
    <row r="97" spans="3:8" x14ac:dyDescent="0.15">
      <c r="C97" s="23"/>
      <c r="E97" s="14"/>
      <c r="F97" s="14"/>
      <c r="H97" s="14"/>
    </row>
    <row r="98" spans="3:8" x14ac:dyDescent="0.15">
      <c r="C98" s="23"/>
      <c r="E98" s="14"/>
      <c r="F98" s="14"/>
      <c r="H98" s="14"/>
    </row>
    <row r="99" spans="3:8" x14ac:dyDescent="0.15">
      <c r="C99" s="23"/>
      <c r="E99" s="14"/>
      <c r="F99" s="14"/>
      <c r="H99" s="14"/>
    </row>
    <row r="100" spans="3:8" x14ac:dyDescent="0.15">
      <c r="C100" s="23"/>
      <c r="E100" s="14"/>
      <c r="F100" s="14"/>
      <c r="H100" s="14"/>
    </row>
    <row r="101" spans="3:8" x14ac:dyDescent="0.15">
      <c r="C101" s="23"/>
      <c r="E101" s="14"/>
      <c r="F101" s="14"/>
      <c r="H101" s="14"/>
    </row>
    <row r="102" spans="3:8" x14ac:dyDescent="0.15">
      <c r="C102" s="23"/>
      <c r="E102" s="14"/>
      <c r="F102" s="14"/>
      <c r="H102" s="14"/>
    </row>
    <row r="103" spans="3:8" x14ac:dyDescent="0.15">
      <c r="C103" s="23"/>
      <c r="E103" s="14"/>
      <c r="F103" s="14"/>
      <c r="H103" s="14"/>
    </row>
    <row r="104" spans="3:8" x14ac:dyDescent="0.15">
      <c r="C104" s="23"/>
      <c r="E104" s="14"/>
      <c r="F104" s="14"/>
      <c r="H104" s="14"/>
    </row>
    <row r="105" spans="3:8" x14ac:dyDescent="0.15">
      <c r="C105" s="23"/>
      <c r="E105" s="14"/>
      <c r="F105" s="14"/>
      <c r="H105" s="14"/>
    </row>
    <row r="106" spans="3:8" x14ac:dyDescent="0.15">
      <c r="C106" s="23"/>
      <c r="E106" s="14"/>
      <c r="F106" s="14"/>
      <c r="H106" s="14"/>
    </row>
    <row r="107" spans="3:8" x14ac:dyDescent="0.15">
      <c r="C107" s="23"/>
      <c r="E107" s="14"/>
      <c r="F107" s="14"/>
      <c r="H107" s="14"/>
    </row>
    <row r="108" spans="3:8" x14ac:dyDescent="0.15">
      <c r="C108" s="23"/>
      <c r="E108" s="14"/>
      <c r="F108" s="14"/>
    </row>
    <row r="109" spans="3:8" ht="30.5" customHeight="1" x14ac:dyDescent="0.15">
      <c r="C109" s="23"/>
      <c r="E109" s="14"/>
      <c r="F109" s="14"/>
    </row>
    <row r="110" spans="3:8" x14ac:dyDescent="0.15">
      <c r="C110" s="4"/>
      <c r="D110" s="14"/>
      <c r="E110" s="14"/>
      <c r="F110" s="14"/>
    </row>
    <row r="111" spans="3:8" x14ac:dyDescent="0.15">
      <c r="C111" s="4"/>
      <c r="D111" s="14"/>
      <c r="E111" s="14"/>
      <c r="F111" s="14"/>
    </row>
    <row r="112" spans="3:8" x14ac:dyDescent="0.15">
      <c r="C112" s="4"/>
      <c r="D112" s="14"/>
      <c r="E112" s="14"/>
      <c r="F112" s="14"/>
    </row>
    <row r="113" spans="3:6" x14ac:dyDescent="0.15">
      <c r="C113" s="4"/>
      <c r="D113" s="14"/>
      <c r="E113" s="14"/>
      <c r="F113" s="14"/>
    </row>
  </sheetData>
  <mergeCells count="2">
    <mergeCell ref="F2:H2"/>
    <mergeCell ref="K2:N2"/>
  </mergeCells>
  <pageMargins left="0.7" right="0.7" top="0.75" bottom="0.75" header="0.3" footer="0.3"/>
  <pageSetup paperSize="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2"/>
  <sheetViews>
    <sheetView workbookViewId="0"/>
  </sheetViews>
  <sheetFormatPr baseColWidth="10" defaultColWidth="8.83203125" defaultRowHeight="15" x14ac:dyDescent="0.2"/>
  <cols>
    <col min="1" max="1" width="33" customWidth="1"/>
    <col min="2" max="2" width="34.5" customWidth="1"/>
    <col min="4" max="4" width="9.6640625" bestFit="1" customWidth="1"/>
  </cols>
  <sheetData>
    <row r="1" spans="1:5" x14ac:dyDescent="0.2">
      <c r="A1" s="60"/>
      <c r="B1" s="61"/>
    </row>
    <row r="2" spans="1:5" ht="16" thickBot="1" x14ac:dyDescent="0.25">
      <c r="A2" s="62"/>
      <c r="B2" s="63"/>
    </row>
    <row r="3" spans="1:5" ht="16" thickBot="1" x14ac:dyDescent="0.25">
      <c r="A3" s="348" t="s">
        <v>691</v>
      </c>
      <c r="B3" s="349"/>
    </row>
    <row r="4" spans="1:5" x14ac:dyDescent="0.2">
      <c r="A4" s="62"/>
      <c r="B4" s="63"/>
    </row>
    <row r="5" spans="1:5" x14ac:dyDescent="0.2">
      <c r="A5" s="350" t="s">
        <v>687</v>
      </c>
      <c r="B5" s="351"/>
    </row>
    <row r="6" spans="1:5" x14ac:dyDescent="0.2">
      <c r="A6" s="62"/>
      <c r="B6" s="63"/>
    </row>
    <row r="7" spans="1:5" x14ac:dyDescent="0.2">
      <c r="A7" s="64" t="s">
        <v>817</v>
      </c>
      <c r="B7" s="63">
        <v>50137.95</v>
      </c>
    </row>
    <row r="8" spans="1:5" x14ac:dyDescent="0.2">
      <c r="A8" s="62"/>
      <c r="B8" s="63"/>
    </row>
    <row r="9" spans="1:5" x14ac:dyDescent="0.2">
      <c r="A9" s="64" t="s">
        <v>1140</v>
      </c>
    </row>
    <row r="10" spans="1:5" x14ac:dyDescent="0.2">
      <c r="A10" s="62"/>
      <c r="B10" s="63"/>
    </row>
    <row r="11" spans="1:5" x14ac:dyDescent="0.2">
      <c r="A11" s="62" t="s">
        <v>688</v>
      </c>
      <c r="B11" s="63">
        <v>5751.54</v>
      </c>
    </row>
    <row r="12" spans="1:5" x14ac:dyDescent="0.2">
      <c r="A12" s="62"/>
      <c r="B12" s="63"/>
    </row>
    <row r="13" spans="1:5" ht="16" thickBot="1" x14ac:dyDescent="0.25">
      <c r="A13" s="62" t="s">
        <v>689</v>
      </c>
      <c r="B13" s="65">
        <v>1020.07</v>
      </c>
      <c r="D13" s="1">
        <f>SUM(B11:B13)</f>
        <v>6771.61</v>
      </c>
      <c r="E13" s="1"/>
    </row>
    <row r="14" spans="1:5" x14ac:dyDescent="0.2">
      <c r="A14" s="62"/>
      <c r="B14" s="63"/>
    </row>
    <row r="15" spans="1:5" ht="16" thickBot="1" x14ac:dyDescent="0.25">
      <c r="A15" s="82" t="s">
        <v>2213</v>
      </c>
      <c r="B15" s="66">
        <f>SUM(B7:B13)</f>
        <v>56909.56</v>
      </c>
    </row>
    <row r="16" spans="1:5" ht="16" thickTop="1" x14ac:dyDescent="0.2">
      <c r="A16" s="62"/>
      <c r="B16" s="63"/>
    </row>
    <row r="17" spans="1:2" x14ac:dyDescent="0.2">
      <c r="A17" s="62"/>
      <c r="B17" s="63"/>
    </row>
    <row r="18" spans="1:2" x14ac:dyDescent="0.2">
      <c r="A18" s="350" t="s">
        <v>778</v>
      </c>
      <c r="B18" s="351"/>
    </row>
    <row r="19" spans="1:2" x14ac:dyDescent="0.2">
      <c r="A19" s="62"/>
      <c r="B19" s="63"/>
    </row>
    <row r="20" spans="1:2" x14ac:dyDescent="0.2">
      <c r="A20" s="64" t="s">
        <v>817</v>
      </c>
      <c r="B20" s="63">
        <v>53552.800000000003</v>
      </c>
    </row>
    <row r="21" spans="1:2" x14ac:dyDescent="0.2">
      <c r="A21" s="62"/>
      <c r="B21" s="63"/>
    </row>
    <row r="22" spans="1:2" x14ac:dyDescent="0.2">
      <c r="A22" s="64" t="s">
        <v>735</v>
      </c>
      <c r="B22" s="63"/>
    </row>
    <row r="23" spans="1:2" x14ac:dyDescent="0.2">
      <c r="A23" s="64"/>
      <c r="B23" s="63"/>
    </row>
    <row r="24" spans="1:2" x14ac:dyDescent="0.2">
      <c r="A24" s="81" t="s">
        <v>101</v>
      </c>
      <c r="B24" s="63"/>
    </row>
    <row r="25" spans="1:2" x14ac:dyDescent="0.2">
      <c r="A25" s="62"/>
      <c r="B25" s="63"/>
    </row>
    <row r="26" spans="1:2" x14ac:dyDescent="0.2">
      <c r="A26" s="62" t="s">
        <v>688</v>
      </c>
      <c r="B26" s="63">
        <v>6685.97</v>
      </c>
    </row>
    <row r="27" spans="1:2" x14ac:dyDescent="0.2">
      <c r="A27" s="62"/>
      <c r="B27" s="67"/>
    </row>
    <row r="28" spans="1:2" x14ac:dyDescent="0.2">
      <c r="A28" s="62" t="s">
        <v>689</v>
      </c>
      <c r="B28" s="63">
        <v>546.79999999999995</v>
      </c>
    </row>
    <row r="29" spans="1:2" x14ac:dyDescent="0.2">
      <c r="A29" s="62"/>
      <c r="B29" s="63"/>
    </row>
    <row r="30" spans="1:2" ht="16" thickBot="1" x14ac:dyDescent="0.25">
      <c r="A30" s="68" t="s">
        <v>690</v>
      </c>
      <c r="B30" s="65"/>
    </row>
    <row r="31" spans="1:2" x14ac:dyDescent="0.2">
      <c r="A31" s="62"/>
      <c r="B31" s="63"/>
    </row>
    <row r="32" spans="1:2" ht="16" thickBot="1" x14ac:dyDescent="0.25">
      <c r="A32" s="82" t="s">
        <v>2213</v>
      </c>
      <c r="B32" s="66">
        <f>SUM(B20:B30)</f>
        <v>60785.570000000007</v>
      </c>
    </row>
    <row r="33" spans="1:4" ht="16" thickTop="1" x14ac:dyDescent="0.2">
      <c r="A33" s="62"/>
      <c r="B33" s="63"/>
    </row>
    <row r="34" spans="1:4" x14ac:dyDescent="0.2">
      <c r="A34" s="62"/>
      <c r="B34" s="63"/>
    </row>
    <row r="35" spans="1:4" x14ac:dyDescent="0.2">
      <c r="A35" s="62"/>
      <c r="B35" s="63"/>
    </row>
    <row r="36" spans="1:4" x14ac:dyDescent="0.2">
      <c r="A36" s="350" t="s">
        <v>692</v>
      </c>
      <c r="B36" s="351"/>
    </row>
    <row r="37" spans="1:4" x14ac:dyDescent="0.2">
      <c r="A37" s="62"/>
      <c r="B37" s="63"/>
    </row>
    <row r="38" spans="1:4" x14ac:dyDescent="0.2">
      <c r="A38" s="64" t="s">
        <v>817</v>
      </c>
      <c r="B38" s="63">
        <v>91655.76</v>
      </c>
    </row>
    <row r="39" spans="1:4" x14ac:dyDescent="0.2">
      <c r="A39" s="62"/>
      <c r="B39" s="63"/>
    </row>
    <row r="40" spans="1:4" x14ac:dyDescent="0.2">
      <c r="A40" s="64" t="s">
        <v>1140</v>
      </c>
      <c r="B40" s="63"/>
    </row>
    <row r="41" spans="1:4" x14ac:dyDescent="0.2">
      <c r="A41" s="62"/>
    </row>
    <row r="42" spans="1:4" x14ac:dyDescent="0.2">
      <c r="A42" s="62" t="s">
        <v>688</v>
      </c>
      <c r="B42" s="63">
        <v>11443.111000000001</v>
      </c>
    </row>
    <row r="43" spans="1:4" x14ac:dyDescent="0.2">
      <c r="A43" s="62"/>
      <c r="B43" s="67"/>
    </row>
    <row r="44" spans="1:4" x14ac:dyDescent="0.2">
      <c r="A44" s="62" t="s">
        <v>689</v>
      </c>
      <c r="B44" s="63">
        <v>935.85</v>
      </c>
      <c r="D44" s="1"/>
    </row>
    <row r="45" spans="1:4" x14ac:dyDescent="0.2">
      <c r="A45" s="62"/>
      <c r="B45" s="63"/>
    </row>
    <row r="46" spans="1:4" ht="16" thickBot="1" x14ac:dyDescent="0.25">
      <c r="A46" s="68" t="s">
        <v>690</v>
      </c>
      <c r="B46" s="65"/>
    </row>
    <row r="47" spans="1:4" x14ac:dyDescent="0.2">
      <c r="A47" s="62"/>
      <c r="B47" s="63"/>
    </row>
    <row r="48" spans="1:4" ht="16" thickBot="1" x14ac:dyDescent="0.25">
      <c r="A48" s="82" t="s">
        <v>2213</v>
      </c>
      <c r="B48" s="66">
        <f>SUM(B38:B46)</f>
        <v>104034.72100000001</v>
      </c>
    </row>
    <row r="49" spans="1:2" ht="16" thickTop="1" x14ac:dyDescent="0.2">
      <c r="A49" s="62"/>
      <c r="B49" s="63"/>
    </row>
    <row r="50" spans="1:2" ht="16" thickBot="1" x14ac:dyDescent="0.25">
      <c r="A50" s="69"/>
      <c r="B50" s="65"/>
    </row>
    <row r="51" spans="1:2" ht="16" thickBot="1" x14ac:dyDescent="0.25">
      <c r="A51" s="4"/>
      <c r="B51" s="14"/>
    </row>
    <row r="52" spans="1:2" ht="16" thickBot="1" x14ac:dyDescent="0.25">
      <c r="A52" s="346"/>
      <c r="B52" s="347"/>
    </row>
  </sheetData>
  <mergeCells count="5">
    <mergeCell ref="A52:B52"/>
    <mergeCell ref="A3:B3"/>
    <mergeCell ref="A5:B5"/>
    <mergeCell ref="A36:B36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Workbook Directory</vt:lpstr>
      <vt:lpstr>Balance Sheet 1</vt:lpstr>
      <vt:lpstr>P&amp;L Pr YR Comp 2 a</vt:lpstr>
      <vt:lpstr>PL Budget Mission &amp; Opers 3</vt:lpstr>
      <vt:lpstr>Camp YTD Budget  4</vt:lpstr>
      <vt:lpstr>Class Report 5</vt:lpstr>
      <vt:lpstr>Net Assets Summary 6 a</vt:lpstr>
      <vt:lpstr>Net Assets  6b</vt:lpstr>
      <vt:lpstr>New Covenant 7</vt:lpstr>
      <vt:lpstr>AR 2024 8</vt:lpstr>
      <vt:lpstr>def from 2023</vt:lpstr>
      <vt:lpstr>AR AGing 8.5</vt:lpstr>
      <vt:lpstr>Camp Payroll Tracking 9</vt:lpstr>
      <vt:lpstr>details missions 10</vt:lpstr>
      <vt:lpstr>details operations 11</vt:lpstr>
      <vt:lpstr>dedicated details 12</vt:lpstr>
      <vt:lpstr>camp details 13</vt:lpstr>
      <vt:lpstr>'AR 2024 8'!Print_Area</vt:lpstr>
      <vt:lpstr>'AR 2024 8'!Print_Titles</vt:lpstr>
      <vt:lpstr>'Camp YTD Budget  4'!Print_Titles</vt:lpstr>
      <vt:lpstr>'Net Assets  6b'!Print_Titles</vt:lpstr>
      <vt:lpstr>'Net Assets Summary 6 a'!Print_Titles</vt:lpstr>
      <vt:lpstr>'PL Budget Mission &amp; Opers 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Bookkeeper</dc:creator>
  <cp:lastModifiedBy>David Ashby</cp:lastModifiedBy>
  <cp:lastPrinted>2024-12-06T16:07:55Z</cp:lastPrinted>
  <dcterms:created xsi:type="dcterms:W3CDTF">2016-03-07T17:13:11Z</dcterms:created>
  <dcterms:modified xsi:type="dcterms:W3CDTF">2025-01-12T13:16:13Z</dcterms:modified>
</cp:coreProperties>
</file>