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\Desktop\"/>
    </mc:Choice>
  </mc:AlternateContent>
  <xr:revisionPtr revIDLastSave="0" documentId="8_{2157B664-FACB-4C08-8E7D-AB1C10D20F5E}" xr6:coauthVersionLast="36" xr6:coauthVersionMax="36" xr10:uidLastSave="{00000000-0000-0000-0000-000000000000}"/>
  <bookViews>
    <workbookView xWindow="0" yWindow="0" windowWidth="28800" windowHeight="12105" tabRatio="857" xr2:uid="{00000000-000D-0000-FFFF-FFFF00000000}"/>
  </bookViews>
  <sheets>
    <sheet name="Workbook Directory" sheetId="73" r:id="rId1"/>
    <sheet name="Balance Sheet 1" sheetId="67" r:id="rId2"/>
    <sheet name="P&amp;L Pr YR Comp 2 a" sheetId="76" r:id="rId3"/>
    <sheet name="PL Budget Mission &amp; Opers 3" sheetId="36" r:id="rId4"/>
    <sheet name="Camp YTD Budget  4" sheetId="35" r:id="rId5"/>
    <sheet name="Class Report 5" sheetId="71" r:id="rId6"/>
    <sheet name="Net Assets Summary 6 a" sheetId="53" r:id="rId7"/>
    <sheet name="Net Assets  6b" sheetId="68" r:id="rId8"/>
    <sheet name="New Covenant 7" sheetId="61" r:id="rId9"/>
    <sheet name="AR 2025" sheetId="37" r:id="rId10"/>
  </sheets>
  <definedNames>
    <definedName name="_xlnm.Print_Area" localSheetId="9">'AR 2025'!$B$1:$F$66</definedName>
    <definedName name="_xlnm.Print_Titles" localSheetId="9">'AR 2025'!$1:$5</definedName>
    <definedName name="_xlnm.Print_Titles" localSheetId="4">'Camp YTD Budget  4'!$1:$7</definedName>
    <definedName name="_xlnm.Print_Titles" localSheetId="7">'Net Assets  6b'!$1:$3</definedName>
    <definedName name="_xlnm.Print_Titles" localSheetId="6">'Net Assets Summary 6 a'!$1:$3</definedName>
    <definedName name="_xlnm.Print_Titles" localSheetId="3">'PL Budget Mission &amp; Opers 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76" l="1"/>
  <c r="E165" i="71"/>
  <c r="D165" i="71"/>
  <c r="C165" i="71"/>
  <c r="B165" i="71"/>
  <c r="F165" i="71" s="1"/>
  <c r="F164" i="71"/>
  <c r="E164" i="71"/>
  <c r="D164" i="71"/>
  <c r="C164" i="71"/>
  <c r="B164" i="71"/>
  <c r="F163" i="71"/>
  <c r="C163" i="71"/>
  <c r="F162" i="71"/>
  <c r="C162" i="71"/>
  <c r="F161" i="71"/>
  <c r="C157" i="71"/>
  <c r="F157" i="71" s="1"/>
  <c r="E156" i="71"/>
  <c r="D156" i="71"/>
  <c r="B156" i="71"/>
  <c r="B158" i="71" s="1"/>
  <c r="C155" i="71"/>
  <c r="C156" i="71" s="1"/>
  <c r="F154" i="71"/>
  <c r="E153" i="71"/>
  <c r="E158" i="71" s="1"/>
  <c r="E159" i="71" s="1"/>
  <c r="E166" i="71" s="1"/>
  <c r="D153" i="71"/>
  <c r="D158" i="71" s="1"/>
  <c r="D159" i="71" s="1"/>
  <c r="D166" i="71" s="1"/>
  <c r="B153" i="71"/>
  <c r="C152" i="71"/>
  <c r="C153" i="71" s="1"/>
  <c r="F151" i="71"/>
  <c r="F150" i="71"/>
  <c r="D144" i="71"/>
  <c r="C144" i="71"/>
  <c r="C145" i="71" s="1"/>
  <c r="B144" i="71"/>
  <c r="B145" i="71" s="1"/>
  <c r="D143" i="71"/>
  <c r="C143" i="71"/>
  <c r="B143" i="71"/>
  <c r="F142" i="71"/>
  <c r="E142" i="71"/>
  <c r="F141" i="71"/>
  <c r="E141" i="71"/>
  <c r="E143" i="71" s="1"/>
  <c r="F143" i="71" s="1"/>
  <c r="F140" i="71"/>
  <c r="E139" i="71"/>
  <c r="F139" i="71" s="1"/>
  <c r="E138" i="71"/>
  <c r="F138" i="71" s="1"/>
  <c r="E137" i="71"/>
  <c r="E144" i="71" s="1"/>
  <c r="F136" i="71"/>
  <c r="E136" i="71"/>
  <c r="E135" i="71"/>
  <c r="F135" i="71" s="1"/>
  <c r="F134" i="71"/>
  <c r="D133" i="71"/>
  <c r="D145" i="71" s="1"/>
  <c r="C133" i="71"/>
  <c r="B133" i="71"/>
  <c r="E132" i="71"/>
  <c r="F132" i="71" s="1"/>
  <c r="E131" i="71"/>
  <c r="F131" i="71" s="1"/>
  <c r="E130" i="71"/>
  <c r="F130" i="71" s="1"/>
  <c r="F129" i="71"/>
  <c r="E129" i="71"/>
  <c r="E128" i="71"/>
  <c r="F128" i="71" s="1"/>
  <c r="E127" i="71"/>
  <c r="F127" i="71" s="1"/>
  <c r="F126" i="71"/>
  <c r="F125" i="71"/>
  <c r="B124" i="71"/>
  <c r="E123" i="71"/>
  <c r="E124" i="71" s="1"/>
  <c r="D123" i="71"/>
  <c r="D124" i="71" s="1"/>
  <c r="C123" i="71"/>
  <c r="C124" i="71" s="1"/>
  <c r="B123" i="71"/>
  <c r="E122" i="71"/>
  <c r="F122" i="71" s="1"/>
  <c r="F121" i="71"/>
  <c r="F120" i="71"/>
  <c r="D120" i="71"/>
  <c r="F119" i="71"/>
  <c r="E119" i="71"/>
  <c r="F118" i="71"/>
  <c r="C117" i="71"/>
  <c r="E116" i="71"/>
  <c r="F116" i="71" s="1"/>
  <c r="D116" i="71"/>
  <c r="C116" i="71"/>
  <c r="B116" i="71"/>
  <c r="E115" i="71"/>
  <c r="F115" i="71" s="1"/>
  <c r="F114" i="71"/>
  <c r="D113" i="71"/>
  <c r="C113" i="71"/>
  <c r="B113" i="71"/>
  <c r="E112" i="71"/>
  <c r="F112" i="71" s="1"/>
  <c r="E111" i="71"/>
  <c r="E113" i="71" s="1"/>
  <c r="F110" i="71"/>
  <c r="D109" i="71"/>
  <c r="C109" i="71"/>
  <c r="B109" i="71"/>
  <c r="E108" i="71"/>
  <c r="F108" i="71" s="1"/>
  <c r="E107" i="71"/>
  <c r="E109" i="71" s="1"/>
  <c r="F106" i="71"/>
  <c r="D105" i="71"/>
  <c r="D117" i="71" s="1"/>
  <c r="C105" i="71"/>
  <c r="B105" i="71"/>
  <c r="D104" i="71"/>
  <c r="C104" i="71"/>
  <c r="B104" i="71"/>
  <c r="F103" i="71"/>
  <c r="E103" i="71"/>
  <c r="F102" i="71"/>
  <c r="E102" i="71"/>
  <c r="E101" i="71"/>
  <c r="F101" i="71" s="1"/>
  <c r="E100" i="71"/>
  <c r="F100" i="71" s="1"/>
  <c r="F99" i="71"/>
  <c r="E99" i="71"/>
  <c r="E98" i="71"/>
  <c r="F98" i="71" s="1"/>
  <c r="E97" i="71"/>
  <c r="E104" i="71" s="1"/>
  <c r="F96" i="71"/>
  <c r="F95" i="71"/>
  <c r="F94" i="71"/>
  <c r="F93" i="71"/>
  <c r="E91" i="71"/>
  <c r="E90" i="71"/>
  <c r="D90" i="71"/>
  <c r="C90" i="71"/>
  <c r="B90" i="71"/>
  <c r="F90" i="71" s="1"/>
  <c r="B89" i="71"/>
  <c r="F89" i="71" s="1"/>
  <c r="B88" i="71"/>
  <c r="F88" i="71" s="1"/>
  <c r="F87" i="71"/>
  <c r="B86" i="71"/>
  <c r="F86" i="71" s="1"/>
  <c r="E85" i="71"/>
  <c r="D85" i="71"/>
  <c r="D91" i="71" s="1"/>
  <c r="C85" i="71"/>
  <c r="C91" i="71" s="1"/>
  <c r="B84" i="71"/>
  <c r="F84" i="71" s="1"/>
  <c r="B83" i="71"/>
  <c r="B85" i="71" s="1"/>
  <c r="F85" i="71" s="1"/>
  <c r="F82" i="71"/>
  <c r="E81" i="71"/>
  <c r="D81" i="71"/>
  <c r="C81" i="71"/>
  <c r="B80" i="71"/>
  <c r="F80" i="71" s="1"/>
  <c r="B79" i="71"/>
  <c r="B81" i="71" s="1"/>
  <c r="F78" i="71"/>
  <c r="F77" i="71"/>
  <c r="F75" i="71"/>
  <c r="B75" i="71"/>
  <c r="E74" i="71"/>
  <c r="E76" i="71" s="1"/>
  <c r="D74" i="71"/>
  <c r="D76" i="71" s="1"/>
  <c r="C74" i="71"/>
  <c r="C76" i="71" s="1"/>
  <c r="B73" i="71"/>
  <c r="B74" i="71" s="1"/>
  <c r="F74" i="71" s="1"/>
  <c r="F72" i="71"/>
  <c r="B71" i="71"/>
  <c r="F71" i="71" s="1"/>
  <c r="B70" i="71"/>
  <c r="F70" i="71" s="1"/>
  <c r="F69" i="71"/>
  <c r="B69" i="71"/>
  <c r="F68" i="71"/>
  <c r="B68" i="71"/>
  <c r="B76" i="71" s="1"/>
  <c r="F76" i="71" s="1"/>
  <c r="F67" i="71"/>
  <c r="E65" i="71"/>
  <c r="D65" i="71"/>
  <c r="C65" i="71"/>
  <c r="B64" i="71"/>
  <c r="B65" i="71" s="1"/>
  <c r="F65" i="71" s="1"/>
  <c r="F63" i="71"/>
  <c r="E62" i="71"/>
  <c r="D62" i="71"/>
  <c r="C62" i="71"/>
  <c r="B61" i="71"/>
  <c r="F61" i="71" s="1"/>
  <c r="B60" i="71"/>
  <c r="B62" i="71" s="1"/>
  <c r="F62" i="71" s="1"/>
  <c r="F59" i="71"/>
  <c r="B59" i="71"/>
  <c r="B58" i="71"/>
  <c r="F58" i="71" s="1"/>
  <c r="F57" i="71"/>
  <c r="E55" i="71"/>
  <c r="D55" i="71"/>
  <c r="C55" i="71"/>
  <c r="B54" i="71"/>
  <c r="B55" i="71" s="1"/>
  <c r="F55" i="71" s="1"/>
  <c r="B53" i="71"/>
  <c r="F53" i="71" s="1"/>
  <c r="B52" i="71"/>
  <c r="F52" i="71" s="1"/>
  <c r="F51" i="71"/>
  <c r="B50" i="71"/>
  <c r="F50" i="71" s="1"/>
  <c r="E49" i="71"/>
  <c r="E56" i="71" s="1"/>
  <c r="E66" i="71" s="1"/>
  <c r="E92" i="71" s="1"/>
  <c r="D49" i="71"/>
  <c r="D56" i="71" s="1"/>
  <c r="D66" i="71" s="1"/>
  <c r="C49" i="71"/>
  <c r="C56" i="71" s="1"/>
  <c r="C66" i="71" s="1"/>
  <c r="B49" i="71"/>
  <c r="F49" i="71" s="1"/>
  <c r="F48" i="71"/>
  <c r="B48" i="71"/>
  <c r="F47" i="71"/>
  <c r="F46" i="71"/>
  <c r="F45" i="71"/>
  <c r="F44" i="71"/>
  <c r="C40" i="71"/>
  <c r="B39" i="71"/>
  <c r="F39" i="71" s="1"/>
  <c r="E38" i="71"/>
  <c r="D38" i="71"/>
  <c r="C38" i="71"/>
  <c r="B37" i="71"/>
  <c r="B38" i="71" s="1"/>
  <c r="F38" i="71" s="1"/>
  <c r="F36" i="71"/>
  <c r="E35" i="71"/>
  <c r="D35" i="71"/>
  <c r="C35" i="71"/>
  <c r="B35" i="71"/>
  <c r="F35" i="71" s="1"/>
  <c r="E34" i="71"/>
  <c r="D34" i="71"/>
  <c r="C34" i="71"/>
  <c r="B34" i="71"/>
  <c r="F34" i="71" s="1"/>
  <c r="B33" i="71"/>
  <c r="F33" i="71" s="1"/>
  <c r="B32" i="71"/>
  <c r="F32" i="71" s="1"/>
  <c r="B31" i="71"/>
  <c r="F31" i="71" s="1"/>
  <c r="F30" i="71"/>
  <c r="F29" i="71"/>
  <c r="E28" i="71"/>
  <c r="E40" i="71" s="1"/>
  <c r="D28" i="71"/>
  <c r="D40" i="71" s="1"/>
  <c r="C28" i="71"/>
  <c r="B27" i="71"/>
  <c r="B28" i="71" s="1"/>
  <c r="F26" i="71"/>
  <c r="B26" i="71"/>
  <c r="F25" i="71"/>
  <c r="F24" i="71"/>
  <c r="B23" i="71"/>
  <c r="D22" i="71"/>
  <c r="B22" i="71"/>
  <c r="D21" i="71"/>
  <c r="F21" i="71" s="1"/>
  <c r="C21" i="71"/>
  <c r="C22" i="71" s="1"/>
  <c r="F22" i="71" s="1"/>
  <c r="B21" i="71"/>
  <c r="E20" i="71"/>
  <c r="F20" i="71" s="1"/>
  <c r="E19" i="71"/>
  <c r="E21" i="71" s="1"/>
  <c r="E22" i="71" s="1"/>
  <c r="F18" i="71"/>
  <c r="F17" i="71"/>
  <c r="E16" i="71"/>
  <c r="D16" i="71"/>
  <c r="B16" i="71"/>
  <c r="E15" i="71"/>
  <c r="D15" i="71"/>
  <c r="F15" i="71" s="1"/>
  <c r="C15" i="71"/>
  <c r="C16" i="71" s="1"/>
  <c r="F16" i="71" s="1"/>
  <c r="B15" i="71"/>
  <c r="E14" i="71"/>
  <c r="F14" i="71" s="1"/>
  <c r="F13" i="71"/>
  <c r="E12" i="71"/>
  <c r="F12" i="71" s="1"/>
  <c r="E11" i="71"/>
  <c r="E23" i="71" s="1"/>
  <c r="E41" i="71" s="1"/>
  <c r="E42" i="71" s="1"/>
  <c r="D11" i="71"/>
  <c r="D23" i="71" s="1"/>
  <c r="C11" i="71"/>
  <c r="F11" i="71" s="1"/>
  <c r="B11" i="71"/>
  <c r="D10" i="71"/>
  <c r="F10" i="71" s="1"/>
  <c r="D9" i="71"/>
  <c r="F9" i="71" s="1"/>
  <c r="F8" i="71"/>
  <c r="F7" i="71"/>
  <c r="Z66" i="37"/>
  <c r="N80" i="53"/>
  <c r="L80" i="53"/>
  <c r="K80" i="53"/>
  <c r="L82" i="53" s="1"/>
  <c r="H80" i="53"/>
  <c r="H82" i="53" s="1"/>
  <c r="D80" i="53"/>
  <c r="Q78" i="53"/>
  <c r="P78" i="53"/>
  <c r="E78" i="53"/>
  <c r="P77" i="53"/>
  <c r="Q71" i="53"/>
  <c r="E71" i="53"/>
  <c r="P70" i="53"/>
  <c r="P69" i="53"/>
  <c r="E66" i="53"/>
  <c r="F66" i="53" s="1"/>
  <c r="F80" i="53" s="1"/>
  <c r="P65" i="53"/>
  <c r="Q65" i="53" s="1"/>
  <c r="P60" i="53"/>
  <c r="E59" i="53"/>
  <c r="P58" i="53"/>
  <c r="P57" i="53"/>
  <c r="P55" i="53"/>
  <c r="P54" i="53"/>
  <c r="P53" i="53"/>
  <c r="P52" i="53"/>
  <c r="E51" i="53"/>
  <c r="P50" i="53"/>
  <c r="P49" i="53"/>
  <c r="P47" i="53"/>
  <c r="P46" i="53"/>
  <c r="P45" i="53"/>
  <c r="P43" i="53"/>
  <c r="Q58" i="53" s="1"/>
  <c r="R58" i="53" s="1"/>
  <c r="R38" i="53"/>
  <c r="Q38" i="53"/>
  <c r="S66" i="53" s="1"/>
  <c r="P37" i="53"/>
  <c r="E37" i="53"/>
  <c r="P36" i="53"/>
  <c r="P35" i="53"/>
  <c r="P34" i="53"/>
  <c r="P32" i="53"/>
  <c r="P31" i="53"/>
  <c r="P29" i="53"/>
  <c r="P26" i="53"/>
  <c r="E22" i="53"/>
  <c r="P21" i="53"/>
  <c r="P20" i="53"/>
  <c r="P19" i="53"/>
  <c r="P14" i="53"/>
  <c r="E14" i="53"/>
  <c r="E80" i="53" s="1"/>
  <c r="P8" i="53"/>
  <c r="P80" i="53" s="1"/>
  <c r="E8" i="53"/>
  <c r="P19" i="68"/>
  <c r="B126" i="67"/>
  <c r="C125" i="67"/>
  <c r="B125" i="67"/>
  <c r="C123" i="67"/>
  <c r="B123" i="67"/>
  <c r="C122" i="67"/>
  <c r="B122" i="67"/>
  <c r="C121" i="67"/>
  <c r="B121" i="67"/>
  <c r="B124" i="67" s="1"/>
  <c r="B120" i="67"/>
  <c r="B119" i="67"/>
  <c r="C118" i="67"/>
  <c r="B118" i="67"/>
  <c r="C117" i="67"/>
  <c r="C124" i="67" s="1"/>
  <c r="B117" i="67"/>
  <c r="C115" i="67"/>
  <c r="B115" i="67"/>
  <c r="C113" i="67"/>
  <c r="B113" i="67"/>
  <c r="C112" i="67"/>
  <c r="B112" i="67"/>
  <c r="C111" i="67"/>
  <c r="C114" i="67" s="1"/>
  <c r="B111" i="67"/>
  <c r="B114" i="67" s="1"/>
  <c r="C106" i="67"/>
  <c r="B106" i="67"/>
  <c r="B105" i="67"/>
  <c r="C104" i="67"/>
  <c r="B104" i="67"/>
  <c r="C103" i="67"/>
  <c r="B103" i="67"/>
  <c r="C102" i="67"/>
  <c r="C107" i="67" s="1"/>
  <c r="B102" i="67"/>
  <c r="B107" i="67" s="1"/>
  <c r="B99" i="67"/>
  <c r="B97" i="67"/>
  <c r="C96" i="67"/>
  <c r="B96" i="67"/>
  <c r="C95" i="67"/>
  <c r="B95" i="67"/>
  <c r="B94" i="67"/>
  <c r="C93" i="67"/>
  <c r="B93" i="67"/>
  <c r="C92" i="67"/>
  <c r="B92" i="67"/>
  <c r="C91" i="67"/>
  <c r="C98" i="67" s="1"/>
  <c r="C100" i="67" s="1"/>
  <c r="B91" i="67"/>
  <c r="B98" i="67" s="1"/>
  <c r="B100" i="67" s="1"/>
  <c r="C87" i="67"/>
  <c r="C88" i="67" s="1"/>
  <c r="B87" i="67"/>
  <c r="B88" i="67" s="1"/>
  <c r="C80" i="67"/>
  <c r="B80" i="67"/>
  <c r="C78" i="67"/>
  <c r="B78" i="67"/>
  <c r="C77" i="67"/>
  <c r="B77" i="67"/>
  <c r="C76" i="67"/>
  <c r="B76" i="67"/>
  <c r="C75" i="67"/>
  <c r="B75" i="67"/>
  <c r="C73" i="67"/>
  <c r="B73" i="67"/>
  <c r="C72" i="67"/>
  <c r="B72" i="67"/>
  <c r="C71" i="67"/>
  <c r="C74" i="67" s="1"/>
  <c r="C79" i="67" s="1"/>
  <c r="C81" i="67" s="1"/>
  <c r="B71" i="67"/>
  <c r="B74" i="67" s="1"/>
  <c r="B79" i="67" s="1"/>
  <c r="B81" i="67" s="1"/>
  <c r="C64" i="67"/>
  <c r="C65" i="67" s="1"/>
  <c r="B64" i="67"/>
  <c r="C63" i="67"/>
  <c r="B63" i="67"/>
  <c r="B65" i="67" s="1"/>
  <c r="C61" i="67"/>
  <c r="B61" i="67"/>
  <c r="C60" i="67"/>
  <c r="B60" i="67"/>
  <c r="C59" i="67"/>
  <c r="B59" i="67"/>
  <c r="B66" i="67" s="1"/>
  <c r="C55" i="67"/>
  <c r="B55" i="67"/>
  <c r="C54" i="67"/>
  <c r="B54" i="67"/>
  <c r="C53" i="67"/>
  <c r="C56" i="67" s="1"/>
  <c r="B53" i="67"/>
  <c r="B56" i="67" s="1"/>
  <c r="B57" i="67" s="1"/>
  <c r="C52" i="67"/>
  <c r="B52" i="67"/>
  <c r="C51" i="67"/>
  <c r="B51" i="67"/>
  <c r="C50" i="67"/>
  <c r="B50" i="67"/>
  <c r="C49" i="67"/>
  <c r="B49" i="67"/>
  <c r="C46" i="67"/>
  <c r="B46" i="67"/>
  <c r="C45" i="67"/>
  <c r="B45" i="67"/>
  <c r="C44" i="67"/>
  <c r="B44" i="67"/>
  <c r="C43" i="67"/>
  <c r="C47" i="67" s="1"/>
  <c r="B43" i="67"/>
  <c r="B47" i="67" s="1"/>
  <c r="C40" i="67"/>
  <c r="B40" i="67"/>
  <c r="C39" i="67"/>
  <c r="C41" i="67" s="1"/>
  <c r="B39" i="67"/>
  <c r="B41" i="67" s="1"/>
  <c r="C38" i="67"/>
  <c r="B38" i="67"/>
  <c r="C37" i="67"/>
  <c r="B37" i="67"/>
  <c r="C31" i="67"/>
  <c r="B31" i="67"/>
  <c r="C30" i="67"/>
  <c r="B30" i="67"/>
  <c r="C29" i="67"/>
  <c r="B29" i="67"/>
  <c r="C28" i="67"/>
  <c r="C32" i="67" s="1"/>
  <c r="B28" i="67"/>
  <c r="B32" i="67" s="1"/>
  <c r="B25" i="67"/>
  <c r="C24" i="67"/>
  <c r="C26" i="67" s="1"/>
  <c r="B24" i="67"/>
  <c r="B26" i="67" s="1"/>
  <c r="C20" i="67"/>
  <c r="C21" i="67" s="1"/>
  <c r="B20" i="67"/>
  <c r="B21" i="67" s="1"/>
  <c r="C18" i="67"/>
  <c r="B18" i="67"/>
  <c r="C17" i="67"/>
  <c r="B17" i="67"/>
  <c r="C16" i="67"/>
  <c r="B16" i="67"/>
  <c r="C15" i="67"/>
  <c r="B15" i="67"/>
  <c r="C14" i="67"/>
  <c r="B14" i="67"/>
  <c r="C13" i="67"/>
  <c r="B13" i="67"/>
  <c r="C12" i="67"/>
  <c r="B12" i="67"/>
  <c r="C11" i="67"/>
  <c r="B11" i="67"/>
  <c r="C10" i="67"/>
  <c r="C22" i="67" s="1"/>
  <c r="B10" i="67"/>
  <c r="B22" i="67" s="1"/>
  <c r="C188" i="76"/>
  <c r="C189" i="76" s="1"/>
  <c r="C190" i="76" s="1"/>
  <c r="B187" i="76"/>
  <c r="B186" i="76"/>
  <c r="B189" i="76" s="1"/>
  <c r="B190" i="76" s="1"/>
  <c r="B183" i="76"/>
  <c r="B191" i="76" s="1"/>
  <c r="B182" i="76"/>
  <c r="C181" i="76"/>
  <c r="C180" i="76"/>
  <c r="B180" i="76"/>
  <c r="B179" i="76"/>
  <c r="C178" i="76"/>
  <c r="C179" i="76" s="1"/>
  <c r="C182" i="76" s="1"/>
  <c r="C183" i="76" s="1"/>
  <c r="C191" i="76" s="1"/>
  <c r="B178" i="76"/>
  <c r="C176" i="76"/>
  <c r="B176" i="76"/>
  <c r="B175" i="76"/>
  <c r="B166" i="76"/>
  <c r="C165" i="76"/>
  <c r="B165" i="76"/>
  <c r="C164" i="76"/>
  <c r="C166" i="76" s="1"/>
  <c r="B164" i="76"/>
  <c r="C162" i="76"/>
  <c r="B162" i="76"/>
  <c r="C161" i="76"/>
  <c r="B161" i="76"/>
  <c r="C160" i="76"/>
  <c r="B160" i="76"/>
  <c r="B159" i="76"/>
  <c r="B167" i="76" s="1"/>
  <c r="C158" i="76"/>
  <c r="C167" i="76" s="1"/>
  <c r="B158" i="76"/>
  <c r="C155" i="76"/>
  <c r="B155" i="76"/>
  <c r="C154" i="76"/>
  <c r="B154" i="76"/>
  <c r="C153" i="76"/>
  <c r="B153" i="76"/>
  <c r="C152" i="76"/>
  <c r="B152" i="76"/>
  <c r="C151" i="76"/>
  <c r="B151" i="76"/>
  <c r="B156" i="76" s="1"/>
  <c r="C150" i="76"/>
  <c r="C149" i="76"/>
  <c r="C156" i="76" s="1"/>
  <c r="B149" i="76"/>
  <c r="C145" i="76"/>
  <c r="B145" i="76"/>
  <c r="C144" i="76"/>
  <c r="B144" i="76"/>
  <c r="C142" i="76"/>
  <c r="C146" i="76" s="1"/>
  <c r="B142" i="76"/>
  <c r="B141" i="76"/>
  <c r="B146" i="76" s="1"/>
  <c r="B138" i="76"/>
  <c r="C137" i="76"/>
  <c r="C136" i="76"/>
  <c r="C138" i="76" s="1"/>
  <c r="C135" i="76"/>
  <c r="B135" i="76"/>
  <c r="B133" i="76"/>
  <c r="C132" i="76"/>
  <c r="C131" i="76"/>
  <c r="B131" i="76"/>
  <c r="C130" i="76"/>
  <c r="B130" i="76"/>
  <c r="C129" i="76"/>
  <c r="C133" i="76" s="1"/>
  <c r="C126" i="76"/>
  <c r="B126" i="76"/>
  <c r="C125" i="76"/>
  <c r="C127" i="76" s="1"/>
  <c r="B125" i="76"/>
  <c r="B127" i="76" s="1"/>
  <c r="C121" i="76"/>
  <c r="C120" i="76"/>
  <c r="B120" i="76"/>
  <c r="B119" i="76"/>
  <c r="C118" i="76"/>
  <c r="B118" i="76"/>
  <c r="C117" i="76"/>
  <c r="B117" i="76"/>
  <c r="C116" i="76"/>
  <c r="B116" i="76"/>
  <c r="C115" i="76"/>
  <c r="C122" i="76" s="1"/>
  <c r="C123" i="76" s="1"/>
  <c r="B115" i="76"/>
  <c r="B122" i="76" s="1"/>
  <c r="B123" i="76" s="1"/>
  <c r="C114" i="76"/>
  <c r="B114" i="76"/>
  <c r="B106" i="76"/>
  <c r="C105" i="76"/>
  <c r="C107" i="76" s="1"/>
  <c r="B104" i="76"/>
  <c r="B107" i="76" s="1"/>
  <c r="B102" i="76"/>
  <c r="B100" i="76"/>
  <c r="B101" i="76" s="1"/>
  <c r="C99" i="76"/>
  <c r="C101" i="76" s="1"/>
  <c r="B99" i="76"/>
  <c r="C96" i="76"/>
  <c r="B96" i="76"/>
  <c r="C95" i="76"/>
  <c r="C97" i="76" s="1"/>
  <c r="B95" i="76"/>
  <c r="B97" i="76" s="1"/>
  <c r="B108" i="76" s="1"/>
  <c r="C91" i="76"/>
  <c r="C90" i="76"/>
  <c r="C89" i="76"/>
  <c r="B88" i="76"/>
  <c r="B87" i="76"/>
  <c r="C86" i="76"/>
  <c r="C87" i="76" s="1"/>
  <c r="C85" i="76"/>
  <c r="B83" i="76"/>
  <c r="C82" i="76"/>
  <c r="C81" i="76"/>
  <c r="C83" i="76" s="1"/>
  <c r="B81" i="76"/>
  <c r="B79" i="76"/>
  <c r="C78" i="76"/>
  <c r="B78" i="76"/>
  <c r="C77" i="76"/>
  <c r="B77" i="76"/>
  <c r="B76" i="76"/>
  <c r="B92" i="76" s="1"/>
  <c r="C73" i="76"/>
  <c r="B73" i="76"/>
  <c r="C72" i="76"/>
  <c r="B71" i="76"/>
  <c r="C68" i="76"/>
  <c r="B68" i="76"/>
  <c r="C67" i="76"/>
  <c r="B67" i="76"/>
  <c r="C66" i="76"/>
  <c r="C65" i="76"/>
  <c r="B65" i="76"/>
  <c r="C64" i="76"/>
  <c r="C69" i="76" s="1"/>
  <c r="B64" i="76"/>
  <c r="B69" i="76" s="1"/>
  <c r="C61" i="76"/>
  <c r="B61" i="76"/>
  <c r="C60" i="76"/>
  <c r="B57" i="76"/>
  <c r="B58" i="76" s="1"/>
  <c r="C56" i="76"/>
  <c r="B56" i="76"/>
  <c r="C55" i="76"/>
  <c r="C58" i="76" s="1"/>
  <c r="B55" i="76"/>
  <c r="C53" i="76"/>
  <c r="B53" i="76"/>
  <c r="C52" i="76"/>
  <c r="C51" i="76"/>
  <c r="B51" i="76"/>
  <c r="B52" i="76" s="1"/>
  <c r="C42" i="76"/>
  <c r="B42" i="76"/>
  <c r="C40" i="76"/>
  <c r="C41" i="76" s="1"/>
  <c r="B40" i="76"/>
  <c r="B41" i="76" s="1"/>
  <c r="B37" i="76"/>
  <c r="B38" i="76" s="1"/>
  <c r="C36" i="76"/>
  <c r="C37" i="76" s="1"/>
  <c r="C38" i="76" s="1"/>
  <c r="B36" i="76"/>
  <c r="C35" i="76"/>
  <c r="C34" i="76"/>
  <c r="B34" i="76"/>
  <c r="C33" i="76"/>
  <c r="B33" i="76"/>
  <c r="C29" i="76"/>
  <c r="B29" i="76"/>
  <c r="C28" i="76"/>
  <c r="C30" i="76" s="1"/>
  <c r="B28" i="76"/>
  <c r="B30" i="76" s="1"/>
  <c r="B22" i="76"/>
  <c r="C21" i="76"/>
  <c r="B21" i="76"/>
  <c r="B23" i="76" s="1"/>
  <c r="B24" i="76" s="1"/>
  <c r="C20" i="76"/>
  <c r="C23" i="76" s="1"/>
  <c r="C24" i="76" s="1"/>
  <c r="B15" i="76"/>
  <c r="B16" i="76" s="1"/>
  <c r="C14" i="76"/>
  <c r="C17" i="76" s="1"/>
  <c r="B13" i="76"/>
  <c r="B17" i="76" s="1"/>
  <c r="C12" i="76"/>
  <c r="B12" i="76"/>
  <c r="B25" i="76" s="1"/>
  <c r="B11" i="76"/>
  <c r="C10" i="76"/>
  <c r="B10" i="76"/>
  <c r="D80" i="68"/>
  <c r="E14" i="68"/>
  <c r="E78" i="68"/>
  <c r="E59" i="68"/>
  <c r="E51" i="68"/>
  <c r="E37" i="68"/>
  <c r="C66" i="67" l="1"/>
  <c r="B108" i="67"/>
  <c r="B109" i="67" s="1"/>
  <c r="C25" i="76"/>
  <c r="F81" i="71"/>
  <c r="B91" i="71"/>
  <c r="F91" i="71" s="1"/>
  <c r="F113" i="71"/>
  <c r="F23" i="71"/>
  <c r="F124" i="71"/>
  <c r="C92" i="71"/>
  <c r="C147" i="71" s="1"/>
  <c r="D146" i="71"/>
  <c r="C158" i="71"/>
  <c r="C159" i="71" s="1"/>
  <c r="C166" i="71" s="1"/>
  <c r="F153" i="71"/>
  <c r="B40" i="71"/>
  <c r="F40" i="71" s="1"/>
  <c r="F28" i="71"/>
  <c r="D92" i="71"/>
  <c r="D147" i="71" s="1"/>
  <c r="E105" i="71"/>
  <c r="E117" i="71" s="1"/>
  <c r="F104" i="71"/>
  <c r="F109" i="71"/>
  <c r="B159" i="71"/>
  <c r="C146" i="71"/>
  <c r="D41" i="71"/>
  <c r="D42" i="71" s="1"/>
  <c r="F54" i="71"/>
  <c r="F60" i="71"/>
  <c r="F73" i="71"/>
  <c r="F79" i="71"/>
  <c r="F111" i="71"/>
  <c r="B117" i="71"/>
  <c r="F137" i="71"/>
  <c r="F123" i="71"/>
  <c r="F144" i="71"/>
  <c r="F155" i="71"/>
  <c r="C23" i="71"/>
  <c r="C41" i="71" s="1"/>
  <c r="C42" i="71" s="1"/>
  <c r="F37" i="71"/>
  <c r="B56" i="71"/>
  <c r="F107" i="71"/>
  <c r="F19" i="71"/>
  <c r="E133" i="71"/>
  <c r="F156" i="71"/>
  <c r="F64" i="71"/>
  <c r="F83" i="71"/>
  <c r="F27" i="71"/>
  <c r="F152" i="71"/>
  <c r="F97" i="71"/>
  <c r="U58" i="53"/>
  <c r="Q22" i="53"/>
  <c r="C108" i="67"/>
  <c r="C109" i="67" s="1"/>
  <c r="B127" i="67"/>
  <c r="C57" i="67"/>
  <c r="C67" i="67" s="1"/>
  <c r="C68" i="67" s="1"/>
  <c r="C127" i="67"/>
  <c r="B33" i="67"/>
  <c r="C33" i="67"/>
  <c r="B67" i="67"/>
  <c r="B68" i="67" s="1"/>
  <c r="B139" i="76"/>
  <c r="C139" i="76"/>
  <c r="C168" i="76"/>
  <c r="C92" i="76"/>
  <c r="B43" i="76"/>
  <c r="B44" i="76" s="1"/>
  <c r="B45" i="76" s="1"/>
  <c r="C62" i="76"/>
  <c r="C74" i="76" s="1"/>
  <c r="C109" i="76" s="1"/>
  <c r="C108" i="76"/>
  <c r="B168" i="76"/>
  <c r="B62" i="76"/>
  <c r="B74" i="76" s="1"/>
  <c r="B109" i="76" s="1"/>
  <c r="C43" i="76"/>
  <c r="C44" i="76" s="1"/>
  <c r="C45" i="76" s="1"/>
  <c r="B128" i="67" l="1"/>
  <c r="B146" i="71"/>
  <c r="F117" i="71"/>
  <c r="D148" i="71"/>
  <c r="D167" i="71" s="1"/>
  <c r="F133" i="71"/>
  <c r="E145" i="71"/>
  <c r="F145" i="71" s="1"/>
  <c r="F56" i="71"/>
  <c r="B66" i="71"/>
  <c r="B166" i="71"/>
  <c r="F166" i="71" s="1"/>
  <c r="F159" i="71"/>
  <c r="F105" i="71"/>
  <c r="F158" i="71"/>
  <c r="B41" i="71"/>
  <c r="C148" i="71"/>
  <c r="C167" i="71" s="1"/>
  <c r="C82" i="67"/>
  <c r="B82" i="67"/>
  <c r="C128" i="67"/>
  <c r="B169" i="76"/>
  <c r="B170" i="76"/>
  <c r="B171" i="76" s="1"/>
  <c r="B192" i="76" s="1"/>
  <c r="C169" i="76"/>
  <c r="C170" i="76" s="1"/>
  <c r="C171" i="76" s="1"/>
  <c r="C192" i="76" s="1"/>
  <c r="Z28" i="37"/>
  <c r="Z27" i="37"/>
  <c r="B42" i="71" l="1"/>
  <c r="F41" i="71"/>
  <c r="F66" i="71"/>
  <c r="B92" i="71"/>
  <c r="E146" i="71"/>
  <c r="E147" i="71" s="1"/>
  <c r="E148" i="71" s="1"/>
  <c r="E167" i="71" s="1"/>
  <c r="F146" i="71" l="1"/>
  <c r="F92" i="71"/>
  <c r="B147" i="71"/>
  <c r="F147" i="71" s="1"/>
  <c r="F42" i="71"/>
  <c r="B148" i="71"/>
  <c r="B167" i="71" l="1"/>
  <c r="F167" i="71" s="1"/>
  <c r="F148" i="71"/>
  <c r="B78" i="35"/>
  <c r="S66" i="37"/>
  <c r="Z56" i="37" l="1"/>
  <c r="Z54" i="37"/>
  <c r="Z53" i="37"/>
  <c r="Z52" i="37"/>
  <c r="Z48" i="37"/>
  <c r="Z44" i="37"/>
  <c r="Z42" i="37"/>
  <c r="Z40" i="37"/>
  <c r="Z39" i="37"/>
  <c r="Z38" i="37"/>
  <c r="Z37" i="37"/>
  <c r="Z36" i="37"/>
  <c r="Z35" i="37"/>
  <c r="Z34" i="37"/>
  <c r="Z31" i="37"/>
  <c r="Z30" i="37"/>
  <c r="Z29" i="37"/>
  <c r="Z26" i="37"/>
  <c r="Z25" i="37"/>
  <c r="Z23" i="37"/>
  <c r="Z22" i="37"/>
  <c r="Z21" i="37"/>
  <c r="Z19" i="37"/>
  <c r="Z18" i="37"/>
  <c r="Z16" i="37"/>
  <c r="Z15" i="37"/>
  <c r="Z13" i="37"/>
  <c r="Z12" i="37"/>
  <c r="Z11" i="37"/>
  <c r="Z9" i="37"/>
  <c r="Z7" i="37"/>
  <c r="Z6" i="37"/>
  <c r="S57" i="37"/>
  <c r="R66" i="37"/>
  <c r="S54" i="37"/>
  <c r="S53" i="37"/>
  <c r="S52" i="37"/>
  <c r="S51" i="37"/>
  <c r="S50" i="37"/>
  <c r="S49" i="37"/>
  <c r="S48" i="37"/>
  <c r="S47" i="37"/>
  <c r="S46" i="37"/>
  <c r="S45" i="37"/>
  <c r="S44" i="37"/>
  <c r="S43" i="37"/>
  <c r="S42" i="37"/>
  <c r="S41" i="37"/>
  <c r="S40" i="37"/>
  <c r="S39" i="37"/>
  <c r="S38" i="37"/>
  <c r="S37" i="37"/>
  <c r="S36" i="37"/>
  <c r="S35" i="37"/>
  <c r="S34" i="37"/>
  <c r="S33" i="37"/>
  <c r="S32" i="37"/>
  <c r="S31" i="37"/>
  <c r="S30" i="37"/>
  <c r="S29" i="37"/>
  <c r="S28" i="37"/>
  <c r="S27" i="37"/>
  <c r="S26" i="37"/>
  <c r="S25" i="37"/>
  <c r="S24" i="37"/>
  <c r="S23" i="37"/>
  <c r="S22" i="37"/>
  <c r="S21" i="37"/>
  <c r="S20" i="37"/>
  <c r="S19" i="37"/>
  <c r="S18" i="37"/>
  <c r="S16" i="37"/>
  <c r="S17" i="37"/>
  <c r="S15" i="37"/>
  <c r="S14" i="37"/>
  <c r="S13" i="37"/>
  <c r="S12" i="37"/>
  <c r="S11" i="37"/>
  <c r="S10" i="37"/>
  <c r="S8" i="37"/>
  <c r="Z8" i="37" s="1"/>
  <c r="S7" i="37"/>
  <c r="Q66" i="37"/>
  <c r="M10" i="37"/>
  <c r="M43" i="37"/>
  <c r="P34" i="68" l="1"/>
  <c r="P35" i="68" l="1"/>
  <c r="H66" i="37" l="1"/>
  <c r="E66" i="37" l="1"/>
  <c r="D66" i="37"/>
  <c r="B16" i="36"/>
  <c r="B11" i="36"/>
  <c r="B89" i="35"/>
  <c r="F89" i="35"/>
  <c r="E89" i="35"/>
  <c r="D89" i="35"/>
  <c r="C89" i="35"/>
  <c r="G88" i="35"/>
  <c r="D13" i="61"/>
  <c r="G89" i="35" l="1"/>
  <c r="G86" i="35"/>
  <c r="P52" i="68" l="1"/>
  <c r="L51" i="37"/>
  <c r="Z51" i="37" s="1"/>
  <c r="P32" i="68" l="1"/>
  <c r="P26" i="68" l="1"/>
  <c r="E22" i="68"/>
  <c r="E8" i="68"/>
  <c r="P31" i="68"/>
  <c r="P14" i="68" l="1"/>
  <c r="E80" i="68"/>
  <c r="Z60" i="37"/>
  <c r="B32" i="61" l="1"/>
  <c r="B107" i="35"/>
  <c r="N80" i="68" l="1"/>
  <c r="K80" i="68"/>
  <c r="H80" i="68"/>
  <c r="H82" i="68" s="1"/>
  <c r="P78" i="68"/>
  <c r="P77" i="68"/>
  <c r="E71" i="68"/>
  <c r="P70" i="68"/>
  <c r="P69" i="68"/>
  <c r="E66" i="68"/>
  <c r="F66" i="68" s="1"/>
  <c r="F80" i="68" s="1"/>
  <c r="P65" i="68"/>
  <c r="Q65" i="68" s="1"/>
  <c r="P60" i="68"/>
  <c r="P58" i="68"/>
  <c r="P57" i="68"/>
  <c r="P55" i="68"/>
  <c r="P54" i="68"/>
  <c r="P53" i="68"/>
  <c r="P50" i="68"/>
  <c r="P49" i="68"/>
  <c r="P47" i="68"/>
  <c r="P46" i="68"/>
  <c r="P45" i="68"/>
  <c r="P37" i="68"/>
  <c r="P36" i="68"/>
  <c r="P29" i="68"/>
  <c r="P21" i="68"/>
  <c r="P20" i="68"/>
  <c r="P43" i="68"/>
  <c r="L80" i="68"/>
  <c r="P8" i="68"/>
  <c r="Z59" i="37"/>
  <c r="Z58" i="37"/>
  <c r="C70" i="35"/>
  <c r="C77" i="36"/>
  <c r="B122" i="35"/>
  <c r="Q38" i="68" l="1"/>
  <c r="R38" i="68" s="1"/>
  <c r="Q22" i="68"/>
  <c r="Q58" i="68"/>
  <c r="R58" i="68" s="1"/>
  <c r="Q71" i="68"/>
  <c r="Q78" i="68"/>
  <c r="L82" i="68"/>
  <c r="P80" i="68"/>
  <c r="U58" i="68" l="1"/>
  <c r="S66" i="68"/>
  <c r="B70" i="35" l="1"/>
  <c r="B148" i="35" l="1"/>
  <c r="L44" i="37" l="1"/>
  <c r="M44" i="37"/>
  <c r="V66" i="37"/>
  <c r="U66" i="37"/>
  <c r="T66" i="37"/>
  <c r="P66" i="37"/>
  <c r="W66" i="37"/>
  <c r="I66" i="37"/>
  <c r="C66" i="37"/>
  <c r="Z61" i="37"/>
  <c r="M56" i="37"/>
  <c r="L56" i="37"/>
  <c r="M55" i="37"/>
  <c r="L55" i="37"/>
  <c r="M54" i="37"/>
  <c r="L54" i="37"/>
  <c r="M53" i="37"/>
  <c r="L53" i="37"/>
  <c r="M51" i="37"/>
  <c r="M50" i="37"/>
  <c r="L50" i="37"/>
  <c r="M49" i="37"/>
  <c r="Z49" i="37" s="1"/>
  <c r="L49" i="37"/>
  <c r="M48" i="37"/>
  <c r="L48" i="37"/>
  <c r="M47" i="37"/>
  <c r="L47" i="37"/>
  <c r="M46" i="37"/>
  <c r="L46" i="37"/>
  <c r="M45" i="37"/>
  <c r="Z45" i="37" s="1"/>
  <c r="L45" i="37"/>
  <c r="L43" i="37"/>
  <c r="Z43" i="37" s="1"/>
  <c r="M42" i="37"/>
  <c r="L42" i="37"/>
  <c r="L41" i="37"/>
  <c r="Z41" i="37" s="1"/>
  <c r="M40" i="37"/>
  <c r="L40" i="37"/>
  <c r="M39" i="37"/>
  <c r="L39" i="37"/>
  <c r="M38" i="37"/>
  <c r="L38" i="37"/>
  <c r="M37" i="37"/>
  <c r="L37" i="37"/>
  <c r="M36" i="37"/>
  <c r="L36" i="37"/>
  <c r="M35" i="37"/>
  <c r="L35" i="37"/>
  <c r="M34" i="37"/>
  <c r="L34" i="37"/>
  <c r="M33" i="37"/>
  <c r="L33" i="37"/>
  <c r="M32" i="37"/>
  <c r="L32" i="37"/>
  <c r="M52" i="37"/>
  <c r="L52" i="37"/>
  <c r="M31" i="37"/>
  <c r="L31" i="37"/>
  <c r="M30" i="37"/>
  <c r="L30" i="37"/>
  <c r="M29" i="37"/>
  <c r="L29" i="37"/>
  <c r="M28" i="37"/>
  <c r="L28" i="37"/>
  <c r="M27" i="37"/>
  <c r="L27" i="37"/>
  <c r="M26" i="37"/>
  <c r="L26" i="37"/>
  <c r="M25" i="37"/>
  <c r="L25" i="37"/>
  <c r="M24" i="37"/>
  <c r="L24" i="37"/>
  <c r="M23" i="37"/>
  <c r="L23" i="37"/>
  <c r="M22" i="37"/>
  <c r="L22" i="37"/>
  <c r="M21" i="37"/>
  <c r="L21" i="37"/>
  <c r="M20" i="37"/>
  <c r="Z20" i="37" s="1"/>
  <c r="L20" i="37"/>
  <c r="M19" i="37"/>
  <c r="L19" i="37"/>
  <c r="M18" i="37"/>
  <c r="L18" i="37"/>
  <c r="M17" i="37"/>
  <c r="Z17" i="37" s="1"/>
  <c r="L17" i="37"/>
  <c r="M16" i="37"/>
  <c r="L16" i="37"/>
  <c r="M15" i="37"/>
  <c r="L15" i="37"/>
  <c r="M14" i="37"/>
  <c r="L14" i="37"/>
  <c r="Z14" i="37" s="1"/>
  <c r="M13" i="37"/>
  <c r="L13" i="37"/>
  <c r="L12" i="37"/>
  <c r="M11" i="37"/>
  <c r="L11" i="37"/>
  <c r="L10" i="37"/>
  <c r="Z10" i="37" s="1"/>
  <c r="M9" i="37"/>
  <c r="L9" i="37"/>
  <c r="M8" i="37"/>
  <c r="L8" i="37"/>
  <c r="M7" i="37"/>
  <c r="L7" i="37"/>
  <c r="M6" i="37"/>
  <c r="L6" i="37"/>
  <c r="Z33" i="37" l="1"/>
  <c r="Z50" i="37"/>
  <c r="Z32" i="37"/>
  <c r="Z55" i="37"/>
  <c r="Z46" i="37"/>
  <c r="Z47" i="37"/>
  <c r="Z24" i="37"/>
  <c r="N77" i="37"/>
  <c r="M66" i="37"/>
  <c r="L66" i="37"/>
  <c r="N71" i="37" s="1"/>
  <c r="N72" i="37" l="1"/>
  <c r="N74" i="37" s="1"/>
  <c r="S71" i="37"/>
  <c r="Z72" i="37" l="1"/>
  <c r="N79" i="37"/>
  <c r="B164" i="35"/>
  <c r="C107" i="35" l="1"/>
  <c r="B25" i="35" l="1"/>
  <c r="B37" i="35" s="1"/>
  <c r="C67" i="36" l="1"/>
  <c r="B192" i="35" l="1"/>
  <c r="B48" i="61" l="1"/>
  <c r="B15" i="61"/>
  <c r="B67" i="36" l="1"/>
  <c r="B15" i="35" l="1"/>
  <c r="B38" i="35" s="1"/>
  <c r="B21" i="36" l="1"/>
  <c r="C21" i="36"/>
  <c r="B77" i="36" l="1"/>
  <c r="C59" i="36"/>
  <c r="C51" i="36"/>
  <c r="C52" i="36" s="1"/>
  <c r="C15" i="35" l="1"/>
  <c r="C25" i="35" l="1"/>
  <c r="C37" i="35" s="1"/>
  <c r="B129" i="36" l="1"/>
  <c r="B134" i="36" s="1"/>
  <c r="B113" i="36" l="1"/>
  <c r="C11" i="36"/>
  <c r="C16" i="36"/>
  <c r="C17" i="36" s="1"/>
  <c r="B17" i="36"/>
  <c r="C27" i="36"/>
  <c r="B27" i="36"/>
  <c r="B51" i="36"/>
  <c r="B52" i="36" s="1"/>
  <c r="B59" i="36"/>
  <c r="C82" i="36"/>
  <c r="B82" i="36"/>
  <c r="B92" i="36"/>
  <c r="C133" i="36"/>
  <c r="B133" i="36"/>
  <c r="C92" i="36" l="1"/>
  <c r="C93" i="36" s="1"/>
  <c r="B93" i="36"/>
  <c r="B78" i="36"/>
  <c r="C113" i="36"/>
  <c r="B28" i="36"/>
  <c r="B135" i="36"/>
  <c r="C28" i="36"/>
  <c r="C31" i="36" s="1"/>
  <c r="C32" i="36" s="1"/>
  <c r="C33" i="36" s="1"/>
  <c r="C129" i="36"/>
  <c r="C134" i="36" s="1"/>
  <c r="B31" i="36" l="1"/>
  <c r="B33" i="36" s="1"/>
  <c r="C78" i="36"/>
  <c r="C135" i="36"/>
  <c r="B136" i="36"/>
  <c r="B137" i="36" s="1"/>
  <c r="B138" i="36" l="1"/>
  <c r="B139" i="36" s="1"/>
  <c r="C136" i="36"/>
  <c r="C137" i="36" s="1"/>
  <c r="C138" i="36" s="1"/>
  <c r="C139" i="36" s="1"/>
  <c r="B178" i="35"/>
  <c r="B169" i="35"/>
  <c r="B154" i="35"/>
  <c r="C148" i="35"/>
  <c r="B145" i="35"/>
  <c r="B141" i="35"/>
  <c r="C134" i="35"/>
  <c r="B127" i="35"/>
  <c r="C81" i="35"/>
  <c r="B81" i="35"/>
  <c r="B92" i="35" l="1"/>
  <c r="B108" i="35" s="1"/>
  <c r="B158" i="35"/>
  <c r="C169" i="35"/>
  <c r="C127" i="35"/>
  <c r="C78" i="35"/>
  <c r="C92" i="35" s="1"/>
  <c r="C122" i="35"/>
  <c r="C141" i="35"/>
  <c r="C192" i="35"/>
  <c r="C164" i="35"/>
  <c r="C178" i="35"/>
  <c r="C154" i="35"/>
  <c r="C145" i="35"/>
  <c r="B193" i="35"/>
  <c r="B40" i="35" l="1"/>
  <c r="B41" i="35" s="1"/>
  <c r="B194" i="35"/>
  <c r="B195" i="35" s="1"/>
  <c r="C158" i="35"/>
  <c r="C193" i="35"/>
  <c r="C38" i="35"/>
  <c r="C40" i="35" s="1"/>
  <c r="C41" i="35" s="1"/>
  <c r="C194" i="35" l="1"/>
  <c r="C195" i="35" s="1"/>
  <c r="C196" i="35" s="1"/>
  <c r="B196" i="35"/>
  <c r="B205" i="35" s="1"/>
  <c r="B143" i="36" l="1"/>
  <c r="B153" i="36" s="1"/>
  <c r="B218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Marjorie Case</author>
    <author>tc={4F5A106E-B23C-4C76-B262-C3A7BA2863FB}</author>
  </authors>
  <commentList>
    <comment ref="W24" authorId="0" shapeId="0" xr:uid="{4229B18D-1F4C-4AD5-8F5E-746848BBB2D8}">
      <text>
        <r>
          <rPr>
            <b/>
            <sz val="9"/>
            <color indexed="81"/>
            <rFont val="Tahoma"/>
            <family val="2"/>
          </rPr>
          <t>Marjorie Case:</t>
        </r>
        <r>
          <rPr>
            <sz val="9"/>
            <color indexed="81"/>
            <rFont val="Tahoma"/>
            <family val="2"/>
          </rPr>
          <t xml:space="preserve">
inv for returned check</t>
        </r>
      </text>
    </comment>
    <comment ref="U55" authorId="1" shapeId="0" xr:uid="{4F5A106E-B23C-4C76-B262-C3A7BA2863F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Pd in 2024 for 2025</t>
        </r>
      </text>
    </comment>
  </commentList>
</comments>
</file>

<file path=xl/sharedStrings.xml><?xml version="1.0" encoding="utf-8"?>
<sst xmlns="http://schemas.openxmlformats.org/spreadsheetml/2006/main" count="1162" uniqueCount="721">
  <si>
    <t>Income</t>
  </si>
  <si>
    <t>Total Income</t>
  </si>
  <si>
    <t>Gross Profit</t>
  </si>
  <si>
    <t>Net Income</t>
  </si>
  <si>
    <t>Camp</t>
  </si>
  <si>
    <t>Dedicated</t>
  </si>
  <si>
    <t>Missions</t>
  </si>
  <si>
    <t>TOTAL</t>
  </si>
  <si>
    <t>Other Income</t>
  </si>
  <si>
    <t>Total Other Income</t>
  </si>
  <si>
    <t>Net Other Income</t>
  </si>
  <si>
    <t>Balance</t>
  </si>
  <si>
    <t>Pledges Paid</t>
  </si>
  <si>
    <t>Balance Due</t>
  </si>
  <si>
    <t>Total A/R</t>
  </si>
  <si>
    <t>PIN</t>
  </si>
  <si>
    <t>Church</t>
  </si>
  <si>
    <t>Members</t>
  </si>
  <si>
    <t>Presbytery</t>
  </si>
  <si>
    <t>Per Capita</t>
  </si>
  <si>
    <t>Mission</t>
  </si>
  <si>
    <t>ADDISON</t>
  </si>
  <si>
    <t>ANDOVER</t>
  </si>
  <si>
    <t>ATLANTA</t>
  </si>
  <si>
    <t>BATH</t>
  </si>
  <si>
    <t>BIG FLATS</t>
  </si>
  <si>
    <t>BURDETT</t>
  </si>
  <si>
    <t>CANANDAIGUA</t>
  </si>
  <si>
    <t>CANISTEO</t>
  </si>
  <si>
    <t>COHOCTON</t>
  </si>
  <si>
    <t>CORNING</t>
  </si>
  <si>
    <t>ELMIRA FIRST</t>
  </si>
  <si>
    <t>ELMIRA NORTH</t>
  </si>
  <si>
    <t>GENEVA</t>
  </si>
  <si>
    <t>HAMMONDSPORT</t>
  </si>
  <si>
    <t>HECTOR</t>
  </si>
  <si>
    <t>HORNELL</t>
  </si>
  <si>
    <t>HORSEHEADS</t>
  </si>
  <si>
    <t>HOWARD</t>
  </si>
  <si>
    <t>HURON</t>
  </si>
  <si>
    <t>ITHACA</t>
  </si>
  <si>
    <t>JASPER</t>
  </si>
  <si>
    <t>JUNIUS</t>
  </si>
  <si>
    <t>LYONS</t>
  </si>
  <si>
    <t>MORELAND</t>
  </si>
  <si>
    <t>NEWARK</t>
  </si>
  <si>
    <t>OAKS CORNERS</t>
  </si>
  <si>
    <t>ONTARIO CENTER</t>
  </si>
  <si>
    <t>OVID</t>
  </si>
  <si>
    <t>PAINTED POST</t>
  </si>
  <si>
    <t>PENN YAN</t>
  </si>
  <si>
    <t>PHELPS</t>
  </si>
  <si>
    <t>PRATTSBURGH</t>
  </si>
  <si>
    <t>PULTENEY</t>
  </si>
  <si>
    <t>ROCK STREAM</t>
  </si>
  <si>
    <t>SENECA #9</t>
  </si>
  <si>
    <t>SENECA FALLS</t>
  </si>
  <si>
    <t>SHORTSVILLE</t>
  </si>
  <si>
    <t>SODUS</t>
  </si>
  <si>
    <t>SPENCER</t>
  </si>
  <si>
    <t>TRUMANSBURG</t>
  </si>
  <si>
    <t>WATERLOO</t>
  </si>
  <si>
    <t>WATKINS GLEN</t>
  </si>
  <si>
    <t>Presbytery of Geneva</t>
  </si>
  <si>
    <t>Restricted Accounts</t>
  </si>
  <si>
    <t>Subtractions</t>
  </si>
  <si>
    <t>Inc AC#</t>
  </si>
  <si>
    <t>Exp AC#</t>
  </si>
  <si>
    <t>Released /
Reclassed</t>
  </si>
  <si>
    <t>Unrestricted Funds</t>
  </si>
  <si>
    <t>Youth Triennium</t>
  </si>
  <si>
    <t>7050_D</t>
  </si>
  <si>
    <t>8010_D</t>
  </si>
  <si>
    <t>Candidates Grant Fund</t>
  </si>
  <si>
    <t>7100_D</t>
  </si>
  <si>
    <t>8020_D</t>
  </si>
  <si>
    <t>7326_D</t>
  </si>
  <si>
    <t>8171_D</t>
  </si>
  <si>
    <t>Hay Grant</t>
  </si>
  <si>
    <t>8180_D</t>
  </si>
  <si>
    <t>Peacemaking</t>
  </si>
  <si>
    <t>7000_D</t>
  </si>
  <si>
    <t>7150_D</t>
  </si>
  <si>
    <t>Two-Cents-A-Meal</t>
  </si>
  <si>
    <t>7300_D</t>
  </si>
  <si>
    <t>8100_D</t>
  </si>
  <si>
    <t>Interest in Life Income Charitable gifts</t>
  </si>
  <si>
    <t>7290_D</t>
  </si>
  <si>
    <t>8090_D</t>
  </si>
  <si>
    <t>Permanently Restricted Funds</t>
  </si>
  <si>
    <t>Camp Whitman Endowment</t>
  </si>
  <si>
    <t>8165_D</t>
  </si>
  <si>
    <t>Presbytery General Endowment</t>
  </si>
  <si>
    <t>Restricted Income &amp; Expenses</t>
  </si>
  <si>
    <t>ASSETS</t>
  </si>
  <si>
    <t>TOTAL ASSETS</t>
  </si>
  <si>
    <t>Deposit</t>
  </si>
  <si>
    <t>In/Out</t>
  </si>
  <si>
    <t>West Virginia Mission</t>
  </si>
  <si>
    <t>7215_D</t>
  </si>
  <si>
    <t>Presbytery Disaster Relief</t>
  </si>
  <si>
    <t>74475.10</t>
  </si>
  <si>
    <t>Emergency Pastoral Care fund</t>
  </si>
  <si>
    <t>Labyrinth at Camp</t>
  </si>
  <si>
    <t xml:space="preserve">   Current Assets</t>
  </si>
  <si>
    <t xml:space="preserve">      Bank Accounts</t>
  </si>
  <si>
    <t xml:space="preserve">         103 Community Bank - Savings</t>
  </si>
  <si>
    <t xml:space="preserve">         104 Community Bank - CCCF</t>
  </si>
  <si>
    <t xml:space="preserve">         135 Presbyterian Foundation</t>
  </si>
  <si>
    <t xml:space="preserve">            135-1 Fidelity-Camp Whitman</t>
  </si>
  <si>
    <t xml:space="preserve">         Total 135 Presbyterian Foundation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</si>
  <si>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</si>
  <si>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</si>
  <si>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</si>
  <si>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   11001 A/R - YTD Adj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</si>
  <si>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</si>
  <si>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</si>
  <si>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</si>
  <si>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   13000 Inventory</t>
  </si>
  <si>
    <t xml:space="preserve">         14400 Prepaid Expenses</t>
  </si>
  <si>
    <t xml:space="preserve">      Total Other Current Assets</t>
  </si>
  <si>
    <t xml:space="preserve">   Total Current Assets</t>
  </si>
  <si>
    <t xml:space="preserve">   Fixed Assets</t>
  </si>
  <si>
    <t xml:space="preserve">      10000 Presbytery</t>
  </si>
  <si>
    <t xml:space="preserve">         14000 FA - Presbytery</t>
  </si>
  <si>
    <t xml:space="preserve">            14210 Building</t>
  </si>
  <si>
    <t xml:space="preserve">            14500 Leasehold improvements</t>
  </si>
  <si>
    <t xml:space="preserve">            14800 Furniture and Equipment</t>
  </si>
  <si>
    <t xml:space="preserve">         Total 14000 FA - Presbytery</t>
  </si>
  <si>
    <t xml:space="preserve">         14200 A/D - Presbytery</t>
  </si>
  <si>
    <t xml:space="preserve">            14100 Building - A/D</t>
  </si>
  <si>
    <t xml:space="preserve">            14510 Leasehold Improv - A/D</t>
  </si>
  <si>
    <t xml:space="preserve">            14810 Furniture &amp; Fixtures - A/D</t>
  </si>
  <si>
    <t xml:space="preserve">            15301 Accumulated Amortization</t>
  </si>
  <si>
    <t xml:space="preserve">         Total 14200 A/D - Presbytery</t>
  </si>
  <si>
    <t xml:space="preserve">         15000 FA - Camp</t>
  </si>
  <si>
    <t xml:space="preserve">            15100 Buildings</t>
  </si>
  <si>
    <t xml:space="preserve">            15150 Land</t>
  </si>
  <si>
    <t xml:space="preserve">            15200 Improvements</t>
  </si>
  <si>
    <t xml:space="preserve">            15300 Furniture &amp; Equipment</t>
  </si>
  <si>
    <t xml:space="preserve">               15310 Boats</t>
  </si>
  <si>
    <t xml:space="preserve">               15340 Vehicles/Tractors</t>
  </si>
  <si>
    <t xml:space="preserve">            Total 15600 Vehicles &amp; Boats</t>
  </si>
  <si>
    <t xml:space="preserve">         Total 15000 FA - Camp</t>
  </si>
  <si>
    <t xml:space="preserve">         15700 A/D - Camp</t>
  </si>
  <si>
    <t xml:space="preserve">            15110 Buildings - A/D</t>
  </si>
  <si>
    <t xml:space="preserve">            15450 Vehicles &amp; Boats - A/D</t>
  </si>
  <si>
    <t xml:space="preserve">               15341 Vehicles - A/D</t>
  </si>
  <si>
    <t xml:space="preserve">            Total 15450 Vehicles &amp; Boats - A/D</t>
  </si>
  <si>
    <t xml:space="preserve">         Total 15700 A/D - Camp</t>
  </si>
  <si>
    <t xml:space="preserve">      Total 10000 Presbytery</t>
  </si>
  <si>
    <t xml:space="preserve">   Total Fixed Assets</t>
  </si>
  <si>
    <t xml:space="preserve">   Other Assets</t>
  </si>
  <si>
    <t xml:space="preserve">      300 Marketable Securities</t>
  </si>
  <si>
    <t xml:space="preserve">         303 Endowment-Presbytery Gen'l</t>
  </si>
  <si>
    <t xml:space="preserve">         304 Endowment- Camp Whitman</t>
  </si>
  <si>
    <t xml:space="preserve">         401 Int PF GP Endowment</t>
  </si>
  <si>
    <t xml:space="preserve">      Total 300 Marketable Securities</t>
  </si>
  <si>
    <t xml:space="preserve">   Total Other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</si>
  <si>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</si>
  <si>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</si>
  <si>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</si>
  <si>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</si>
  <si>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</si>
  <si>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</si>
  <si>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Credit Cards</t>
  </si>
  <si>
    <t xml:space="preserve">         Total Credit Cards</t>
  </si>
  <si>
    <t xml:space="preserve">         Other Current Liabilities</t>
  </si>
  <si>
    <t xml:space="preserve">            26660 Accrued Payroll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</si>
  <si>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</si>
  <si>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</si>
  <si>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</si>
  <si>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</si>
  <si>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   3200.10 Operations</t>
  </si>
  <si>
    <t xml:space="preserve">         3200.20 Board Designated</t>
  </si>
  <si>
    <t xml:space="preserve">      Net Income</t>
  </si>
  <si>
    <t xml:space="preserve">   Total Equity</t>
  </si>
  <si>
    <t>TOTAL LIABILITIES AND EQUITY</t>
  </si>
  <si>
    <t xml:space="preserve">   4000.00 Presbytery Receipts</t>
  </si>
  <si>
    <t xml:space="preserve">      4200.00 Mission - Presbytery</t>
  </si>
  <si>
    <t xml:space="preserve">         3100_M Presbytery Mission</t>
  </si>
  <si>
    <t xml:space="preserve">         3101_M PM - YTD A/R Adj</t>
  </si>
  <si>
    <t xml:space="preserve">      Total 4200.00 Mission - Presbytery</t>
  </si>
  <si>
    <t xml:space="preserve">         4200 Operation</t>
  </si>
  <si>
    <t xml:space="preserve">            4200_O Presbytery Per Capita</t>
  </si>
  <si>
    <t xml:space="preserve">            4202_O PC - YTD A/R Adj</t>
  </si>
  <si>
    <t xml:space="preserve">         Total 4200 Operation</t>
  </si>
  <si>
    <t xml:space="preserve">      4303.00 Other Presbytery Reciepts</t>
  </si>
  <si>
    <t xml:space="preserve">         3200 Synod</t>
  </si>
  <si>
    <t xml:space="preserve">            3200_M Synod Mission</t>
  </si>
  <si>
    <t xml:space="preserve">         Total 3200 Synod</t>
  </si>
  <si>
    <t xml:space="preserve">         4440_O Miscellaneous</t>
  </si>
  <si>
    <t xml:space="preserve">         Total 4440_O Miscellaneous</t>
  </si>
  <si>
    <t xml:space="preserve">      Total 4303.00 Other Presbytery Reciepts</t>
  </si>
  <si>
    <t xml:space="preserve">   Total 4000.00 Presbytery Receipts</t>
  </si>
  <si>
    <t xml:space="preserve">   4999 CAMP WHITMAN INCOME</t>
  </si>
  <si>
    <t xml:space="preserve">      1001_W Camper &amp; Group Fees</t>
  </si>
  <si>
    <t xml:space="preserve">         1000_W Camper Fees</t>
  </si>
  <si>
    <t xml:space="preserve">         1050_W Rental Group Fees</t>
  </si>
  <si>
    <t xml:space="preserve">      Total 1001_W Camper &amp; Group Fees</t>
  </si>
  <si>
    <t xml:space="preserve">      1601_W Other Donations</t>
  </si>
  <si>
    <t xml:space="preserve">         1300_W Camp Mission/Scholarship Income</t>
  </si>
  <si>
    <t xml:space="preserve">            1350_W Pres. of Genesee Local Church</t>
  </si>
  <si>
    <t xml:space="preserve">            1400_W Pres. of Genesee Valley Mission</t>
  </si>
  <si>
    <t xml:space="preserve">         Total 1300_W Camp Mission/Scholarship Income</t>
  </si>
  <si>
    <t xml:space="preserve">         1600_W Misc. Income</t>
  </si>
  <si>
    <t xml:space="preserve">      Total 1601_W Other Donations</t>
  </si>
  <si>
    <t xml:space="preserve">   Total 4999 CAMP WHITMAN INCOME</t>
  </si>
  <si>
    <t>Expenses</t>
  </si>
  <si>
    <t xml:space="preserve">   2111 CAMP WHITMAN EXPENDITURES</t>
  </si>
  <si>
    <t xml:space="preserve">      2113_W Year Round Staff Salaries</t>
  </si>
  <si>
    <t xml:space="preserve">         2603_W Camp Director</t>
  </si>
  <si>
    <t xml:space="preserve">            2661_W Cash Salary</t>
  </si>
  <si>
    <t xml:space="preserve">            2663_W Board of Pension</t>
  </si>
  <si>
    <t xml:space="preserve">         Total 2603_W Camp Director</t>
  </si>
  <si>
    <t xml:space="preserve">      Total 2113_W Year Round Staff Salaries</t>
  </si>
  <si>
    <t xml:space="preserve">      2117_W Camp Payroll Other</t>
  </si>
  <si>
    <t xml:space="preserve">         2125_W FICA_Camp</t>
  </si>
  <si>
    <t xml:space="preserve">         2127_W Recruitement</t>
  </si>
  <si>
    <t xml:space="preserve">      2200_W Program Expense</t>
  </si>
  <si>
    <t xml:space="preserve">         2205_W Bank Fees</t>
  </si>
  <si>
    <t xml:space="preserve">         2210_W Computer Software &amp; Support</t>
  </si>
  <si>
    <t xml:space="preserve">         2251_W Office Expenses/Support</t>
  </si>
  <si>
    <t xml:space="preserve">            2255_W Postage</t>
  </si>
  <si>
    <t xml:space="preserve">         Total 2251_W Office Expenses/Support</t>
  </si>
  <si>
    <t xml:space="preserve">         2256_W Professional Developement</t>
  </si>
  <si>
    <t xml:space="preserve">         2275_W Registration Materials</t>
  </si>
  <si>
    <t xml:space="preserve">         2290_W Marketing &amp; Advertising</t>
  </si>
  <si>
    <t xml:space="preserve">         2750_W Permits/Memberships</t>
  </si>
  <si>
    <t xml:space="preserve">      Total 2200_W Program Expense</t>
  </si>
  <si>
    <t xml:space="preserve">      2500.00 Camp Operating Expenses</t>
  </si>
  <si>
    <t xml:space="preserve">         2150_W Insurance</t>
  </si>
  <si>
    <t xml:space="preserve">            2155_W Property/Liability/Accident</t>
  </si>
  <si>
    <t xml:space="preserve">         Total 2150_W Insurance</t>
  </si>
  <si>
    <t xml:space="preserve">         2300_W Utilities</t>
  </si>
  <si>
    <t xml:space="preserve">            2310_W Telephone &amp; Internet</t>
  </si>
  <si>
    <t xml:space="preserve">         Total 2300_W Utilities</t>
  </si>
  <si>
    <t xml:space="preserve">      Total 2500.00 Camp Operating Expenses</t>
  </si>
  <si>
    <t xml:space="preserve">   Total 2111 CAMP WHITMAN EXPENDITURES</t>
  </si>
  <si>
    <t xml:space="preserve">   2222.00 Presbytery Expenses</t>
  </si>
  <si>
    <t xml:space="preserve">      6000_O Salaries and Benefits</t>
  </si>
  <si>
    <t xml:space="preserve">         6001_O Executive Salaries</t>
  </si>
  <si>
    <t xml:space="preserve">         Total 6001_O Executive Salaries</t>
  </si>
  <si>
    <t xml:space="preserve">         6020_O Stated Clerk</t>
  </si>
  <si>
    <t xml:space="preserve">            6021_O Cash Salary</t>
  </si>
  <si>
    <t xml:space="preserve">         Total 6020_O Stated Clerk</t>
  </si>
  <si>
    <t xml:space="preserve">            6036_O Board of Pension/Fidelity Inv.</t>
  </si>
  <si>
    <t xml:space="preserve">         6222_O Benefits</t>
  </si>
  <si>
    <t xml:space="preserve">            6220_O Disability Insurance</t>
  </si>
  <si>
    <t xml:space="preserve">         Total 6222_O Benefits</t>
  </si>
  <si>
    <t xml:space="preserve">      Total 6000_O Salaries and Benefits</t>
  </si>
  <si>
    <t xml:space="preserve">      7100.00 Operating Expenses</t>
  </si>
  <si>
    <t xml:space="preserve">         6600_O Office Expenses</t>
  </si>
  <si>
    <t xml:space="preserve">            6615_O Maintenance &amp; Repairs</t>
  </si>
  <si>
    <t xml:space="preserve">            6620_O Utilities</t>
  </si>
  <si>
    <t xml:space="preserve">            6630_O Telephone</t>
  </si>
  <si>
    <t xml:space="preserve">            6651_O Bank Fees</t>
  </si>
  <si>
    <t xml:space="preserve">            6655_O Equip. Leases/Service Contracts</t>
  </si>
  <si>
    <t xml:space="preserve">            6660_O Equipment Purchases</t>
  </si>
  <si>
    <t xml:space="preserve">            6661_O Computer Software-Hardware</t>
  </si>
  <si>
    <t xml:space="preserve">            6665_O Website</t>
  </si>
  <si>
    <t xml:space="preserve">            6670_O Office Supplies &amp; Hospitality</t>
  </si>
  <si>
    <t xml:space="preserve">            6755_O Building Loan</t>
  </si>
  <si>
    <t xml:space="preserve">         Total 6600_O Office Expenses</t>
  </si>
  <si>
    <t xml:space="preserve">         6700 Other Operating Expenses</t>
  </si>
  <si>
    <t xml:space="preserve">            6720_O Insurance-Office</t>
  </si>
  <si>
    <t xml:space="preserve">            6770_O GA/Synod Meetings</t>
  </si>
  <si>
    <t xml:space="preserve">         Total 6700 Other Operating Expenses</t>
  </si>
  <si>
    <t xml:space="preserve">      Total 7100.00 Operating Expenses</t>
  </si>
  <si>
    <t xml:space="preserve">   Total 2222.00 Presbytery Expenses</t>
  </si>
  <si>
    <t>Total Expenses</t>
  </si>
  <si>
    <t>Net Operating Income</t>
  </si>
  <si>
    <t xml:space="preserve">   7000 DEDICATED INCOME</t>
  </si>
  <si>
    <t xml:space="preserve">      7150_D Two-Cents-A-Meal</t>
  </si>
  <si>
    <t xml:space="preserve">   Total 7000 DEDICATED INCOME</t>
  </si>
  <si>
    <t xml:space="preserve">         2243_W Committee Exp.</t>
  </si>
  <si>
    <t xml:space="preserve">         2113_W Year Round Staff Salaries</t>
  </si>
  <si>
    <t xml:space="preserve">            2603_W Camp Director</t>
  </si>
  <si>
    <t xml:space="preserve">               2661_W Cash Salary</t>
  </si>
  <si>
    <t xml:space="preserve">         2117_W Camp Payroll Other</t>
  </si>
  <si>
    <t xml:space="preserve">            2235_W Mileage/Meals for Staff</t>
  </si>
  <si>
    <t xml:space="preserve">            6800 Outside Contractors</t>
  </si>
  <si>
    <t xml:space="preserve">               6810_O Payroll Service</t>
  </si>
  <si>
    <t xml:space="preserve">            1500_W Pres. of Geneva Endowment Int</t>
  </si>
  <si>
    <t xml:space="preserve">            1550_W Pres. of Geneva Mission Pledge</t>
  </si>
  <si>
    <t xml:space="preserve">         1610_W Fund Raising Events</t>
  </si>
  <si>
    <t xml:space="preserve">         1662_W Camp Store</t>
  </si>
  <si>
    <t xml:space="preserve">      2000.20 Camp Summer Salaries</t>
  </si>
  <si>
    <t xml:space="preserve">         2010_W Aquatic Director</t>
  </si>
  <si>
    <t xml:space="preserve">         2032_W Nurse</t>
  </si>
  <si>
    <t xml:space="preserve">         2040_W Head Cook</t>
  </si>
  <si>
    <t xml:space="preserve">         2110_W Counselors</t>
  </si>
  <si>
    <t xml:space="preserve">      Total 2000.20 Camp Summer Salaries</t>
  </si>
  <si>
    <t xml:space="preserve">         2604_W Camp Property Manager</t>
  </si>
  <si>
    <t xml:space="preserve">            2665_W Cash Salary</t>
  </si>
  <si>
    <t xml:space="preserve">         Total 2604_W Camp Property Manager</t>
  </si>
  <si>
    <t xml:space="preserve">         2605_W Assistant Property Manager</t>
  </si>
  <si>
    <t xml:space="preserve">            2668_W Cash Salary</t>
  </si>
  <si>
    <t xml:space="preserve">         2120_W Workers Comp_Camp</t>
  </si>
  <si>
    <t xml:space="preserve">         2225_W Arts &amp; Crafts</t>
  </si>
  <si>
    <t xml:space="preserve">         2230_W General Program Expenses</t>
  </si>
  <si>
    <t xml:space="preserve">            2252_W Office Supplies</t>
  </si>
  <si>
    <t xml:space="preserve">         2270_W Camp Store</t>
  </si>
  <si>
    <t xml:space="preserve">         2271_W Staff T Shirts</t>
  </si>
  <si>
    <t xml:space="preserve">         2280_W Program Equipment</t>
  </si>
  <si>
    <t xml:space="preserve">         2291_W Website</t>
  </si>
  <si>
    <t xml:space="preserve">         2400_W Swimming Pool</t>
  </si>
  <si>
    <t xml:space="preserve">            2410_W Chemicals</t>
  </si>
  <si>
    <t xml:space="preserve">            2420_W Equipment and Repair</t>
  </si>
  <si>
    <t xml:space="preserve">         Total 2400_W Swimming Pool</t>
  </si>
  <si>
    <t xml:space="preserve">         2500_W Lakefront</t>
  </si>
  <si>
    <t xml:space="preserve">            2510_W Boat Maintenance &amp; Repair</t>
  </si>
  <si>
    <t xml:space="preserve">            2530_W Equipment &amp; Repair</t>
  </si>
  <si>
    <t xml:space="preserve">         Total 2500_W Lakefront</t>
  </si>
  <si>
    <t xml:space="preserve">         2600_W Medical</t>
  </si>
  <si>
    <t xml:space="preserve">            2610_W Medical Supplies &amp; Equipment</t>
  </si>
  <si>
    <t xml:space="preserve">         Total 2600_W Medical</t>
  </si>
  <si>
    <t xml:space="preserve">         2700_W Kitchen</t>
  </si>
  <si>
    <t xml:space="preserve">            2710_W Food</t>
  </si>
  <si>
    <t xml:space="preserve">            2720_W Kitchen &amp; Cleaning Supplies</t>
  </si>
  <si>
    <t xml:space="preserve">            2730_W Equipment &amp; Repair</t>
  </si>
  <si>
    <t xml:space="preserve">         Total 2700_W Kitchen</t>
  </si>
  <si>
    <t xml:space="preserve">            2154_W Vehicle</t>
  </si>
  <si>
    <t xml:space="preserve">            2320_W Electric</t>
  </si>
  <si>
    <t xml:space="preserve">            2330_W Propane Gas</t>
  </si>
  <si>
    <t xml:space="preserve">         2800_W Vehicle Maintenance</t>
  </si>
  <si>
    <t xml:space="preserve">            2810_W Cars &amp; Trucks</t>
  </si>
  <si>
    <t xml:space="preserve">            2820_W Tractor</t>
  </si>
  <si>
    <t xml:space="preserve">            2830_W Golf Carts</t>
  </si>
  <si>
    <t xml:space="preserve">            2840_W Mower</t>
  </si>
  <si>
    <t xml:space="preserve">            2850_W Fuel</t>
  </si>
  <si>
    <t xml:space="preserve">            2860_W Large Equip</t>
  </si>
  <si>
    <t xml:space="preserve">         Total 2800_W Vehicle Maintenance</t>
  </si>
  <si>
    <t xml:space="preserve">         2900 General Maintenance</t>
  </si>
  <si>
    <t xml:space="preserve">            2910_W Small Equipment Repair</t>
  </si>
  <si>
    <t xml:space="preserve">            2920_W New Equipment &amp; Tools</t>
  </si>
  <si>
    <t xml:space="preserve">            2940_W Port a Johns</t>
  </si>
  <si>
    <t xml:space="preserve">            2950_W Refuse Removal Fees</t>
  </si>
  <si>
    <t xml:space="preserve">            2960_W Fire Extinguishers</t>
  </si>
  <si>
    <t xml:space="preserve">            2970_W General Supplies</t>
  </si>
  <si>
    <t xml:space="preserve">            2980_W Water System Supplies &amp; Repairs</t>
  </si>
  <si>
    <t xml:space="preserve">            2990_W Lumber &amp; Building Supplies</t>
  </si>
  <si>
    <t xml:space="preserve">         Total 2900 General Maintenance</t>
  </si>
  <si>
    <t xml:space="preserve">            6027_O Travel/Business</t>
  </si>
  <si>
    <t xml:space="preserve">            6250_O Worker's Comp</t>
  </si>
  <si>
    <t xml:space="preserve">            6270_O Unemployment Insurance</t>
  </si>
  <si>
    <t xml:space="preserve">      6800.00 MISSION EXPENDITURES</t>
  </si>
  <si>
    <t xml:space="preserve">         5100_M Presbytery Endorsed Projects</t>
  </si>
  <si>
    <t xml:space="preserve">            5155_M Youth Triennium</t>
  </si>
  <si>
    <t xml:space="preserve">         Total 5100_M Presbytery Endorsed Projects</t>
  </si>
  <si>
    <t xml:space="preserve">         5350_M Mission Allocation to Camp</t>
  </si>
  <si>
    <t xml:space="preserve">         6500_M Mission Priority of Presbytery</t>
  </si>
  <si>
    <t xml:space="preserve">         Total 6500_M Mission Priority of Presbytery</t>
  </si>
  <si>
    <t xml:space="preserve">      Total 6800.00 MISSION EXPENDITURES</t>
  </si>
  <si>
    <t xml:space="preserve">            6730_O Synod Per Capita</t>
  </si>
  <si>
    <t xml:space="preserve">            6740_O GA Per Capita</t>
  </si>
  <si>
    <t xml:space="preserve">            6775_O Presbytery Meeting Expenses</t>
  </si>
  <si>
    <t xml:space="preserve">            6795_O Staff Travel</t>
  </si>
  <si>
    <t xml:space="preserve">      3200.00 Net Assets without Restrictions</t>
  </si>
  <si>
    <t xml:space="preserve">      Total 3200.00 Net Assets without Restrictions</t>
  </si>
  <si>
    <t xml:space="preserve">      3440.00 Net Assets with Restrictions</t>
  </si>
  <si>
    <t xml:space="preserve">         3440.10 Perm. Restricted Net Assets</t>
  </si>
  <si>
    <t xml:space="preserve">      Total 3440.00 Net Assets with Restrictions</t>
  </si>
  <si>
    <t xml:space="preserve">            1301_W Misc Camper Donations/Scholar.</t>
  </si>
  <si>
    <t xml:space="preserve">         2725_W Fund Raising Expenses</t>
  </si>
  <si>
    <t xml:space="preserve">            6900 Professional Fees</t>
  </si>
  <si>
    <t xml:space="preserve">      4200_OP Per Capita</t>
  </si>
  <si>
    <t xml:space="preserve">      Total 4200_OP Per Capita</t>
  </si>
  <si>
    <t xml:space="preserve">         2128_W Payroll Service Fees</t>
  </si>
  <si>
    <t xml:space="preserve">            6504_M Leader Care</t>
  </si>
  <si>
    <t xml:space="preserve">            6509_M Vitality</t>
  </si>
  <si>
    <t xml:space="preserve">            6511_M Committee on Ministry</t>
  </si>
  <si>
    <t xml:space="preserve">            6662_O Committee Expenses</t>
  </si>
  <si>
    <t xml:space="preserve">            6750_O Legal Expenses</t>
  </si>
  <si>
    <t xml:space="preserve">         2101_W CIT &amp; Mission Trip Leader</t>
  </si>
  <si>
    <t xml:space="preserve">         2265_W Staff Training</t>
  </si>
  <si>
    <t xml:space="preserve">            2731_W Kitchen Supplies/Equipment</t>
  </si>
  <si>
    <t xml:space="preserve">            2865_W Vehicle Rental</t>
  </si>
  <si>
    <t xml:space="preserve">            1450_W Pres. of Geneva Churches</t>
  </si>
  <si>
    <t xml:space="preserve">            6685_O Staff Development</t>
  </si>
  <si>
    <t xml:space="preserve">               6820_O Bookkeeping</t>
  </si>
  <si>
    <t>Small Church Fund</t>
  </si>
  <si>
    <t xml:space="preserve">               6910_O Auditor Contract</t>
  </si>
  <si>
    <t>Board Designated</t>
  </si>
  <si>
    <t>Unappropriated Endow Earnings - rest camp</t>
  </si>
  <si>
    <t>unappropriated Endow Earnings -</t>
  </si>
  <si>
    <t>Total</t>
  </si>
  <si>
    <t xml:space="preserve">            15320 Furniture &amp; Fixtures - A/D</t>
  </si>
  <si>
    <t xml:space="preserve">         3440.30 TR - Time Restricted</t>
  </si>
  <si>
    <t xml:space="preserve">            6050_O Presbytery Leader</t>
  </si>
  <si>
    <t xml:space="preserve">            Total 6050_O Presbytery Leader</t>
  </si>
  <si>
    <t xml:space="preserve">               6057_O Study Leave</t>
  </si>
  <si>
    <t>Camp Whitman Scholarships</t>
  </si>
  <si>
    <t xml:space="preserve">            2930_W Pump Holding Tanks</t>
  </si>
  <si>
    <t xml:space="preserve">         5200_M Mission &amp; Witness (inc. grants)</t>
  </si>
  <si>
    <t xml:space="preserve">            26555 Def Revenue Camp</t>
  </si>
  <si>
    <t xml:space="preserve">               6053_O SECA Offset/FICA</t>
  </si>
  <si>
    <t xml:space="preserve">            Total 6800 Outside Contractors</t>
  </si>
  <si>
    <t xml:space="preserve">            Total 6900 Professional Fees</t>
  </si>
  <si>
    <t xml:space="preserve">            2236_W Staff Appreciation</t>
  </si>
  <si>
    <t xml:space="preserve">               6051_O Cash Salary - Operations</t>
  </si>
  <si>
    <t xml:space="preserve">         2232_W Staff Expenses</t>
  </si>
  <si>
    <t xml:space="preserve">         Total 2232_W Staff Expenses</t>
  </si>
  <si>
    <t>Net Operating/Missions- income/expenses</t>
  </si>
  <si>
    <t>Net Other Income/other expenses</t>
  </si>
  <si>
    <t>Ties to Balance Sheet</t>
  </si>
  <si>
    <t xml:space="preserve">               6060_O - Fidelity - Retirement</t>
  </si>
  <si>
    <t xml:space="preserve">            6023_O Seca Offset/Fica</t>
  </si>
  <si>
    <t xml:space="preserve">            4500.O Interest</t>
  </si>
  <si>
    <t xml:space="preserve">              6840_O Computer Services</t>
  </si>
  <si>
    <t>Vital Congregations Work</t>
  </si>
  <si>
    <t>Net Other Other - Investment gains/losses</t>
  </si>
  <si>
    <t>Ministry Support - Temporarily Restricted</t>
  </si>
  <si>
    <t>Camp - Temporarily Restricted</t>
  </si>
  <si>
    <t xml:space="preserve">            2128_W Payroll Service Fees</t>
  </si>
  <si>
    <t>Balance Sheet</t>
  </si>
  <si>
    <t xml:space="preserve">            2604_W Camp Property Manager</t>
  </si>
  <si>
    <t xml:space="preserve">               2665_W Cash Salary</t>
  </si>
  <si>
    <t xml:space="preserve">            2850.00 Community Bank</t>
  </si>
  <si>
    <t xml:space="preserve">            Total 2850.00 Community Bank</t>
  </si>
  <si>
    <t xml:space="preserve">            6023_O Payroll Taxes</t>
  </si>
  <si>
    <t xml:space="preserve">         2205_W BankFees/Commissions</t>
  </si>
  <si>
    <t xml:space="preserve">            2125_W Payroll Taxes - Camp</t>
  </si>
  <si>
    <t>CW Equipment Fund</t>
  </si>
  <si>
    <t xml:space="preserve">         101 Community Bank - Operating  (1525)</t>
  </si>
  <si>
    <t xml:space="preserve">         105 Community - Camp Checking (0670)</t>
  </si>
  <si>
    <t xml:space="preserve">         106 Community - Camp Savings 2473</t>
  </si>
  <si>
    <t xml:space="preserve">            6640_O Postage/PO Box</t>
  </si>
  <si>
    <t xml:space="preserve">         Total 6030_O Communication</t>
  </si>
  <si>
    <t>8124_D</t>
  </si>
  <si>
    <t>8156_D</t>
  </si>
  <si>
    <t xml:space="preserve">            6790_O Moving Expenses</t>
  </si>
  <si>
    <t>Weston</t>
  </si>
  <si>
    <t>Wolcott</t>
  </si>
  <si>
    <t>Naples</t>
  </si>
  <si>
    <t>Presbytary Mission</t>
  </si>
  <si>
    <t xml:space="preserve">         1100_W Holiday Weekend Rental Fees</t>
  </si>
  <si>
    <t xml:space="preserve">         1557_W Meals/Program Fees</t>
  </si>
  <si>
    <t xml:space="preserve">            1551_W Membership Dues</t>
  </si>
  <si>
    <t xml:space="preserve">        2020_W Program Staff/Life Guards</t>
  </si>
  <si>
    <t xml:space="preserve">            2611_W Cash Salary</t>
  </si>
  <si>
    <t xml:space="preserve">            2254_W Staff Travel</t>
  </si>
  <si>
    <t xml:space="preserve">               6058_O Travel/Business </t>
  </si>
  <si>
    <t xml:space="preserve">         6030_O Administrative Service</t>
  </si>
  <si>
    <t xml:space="preserve">            6031_O Cash Salary - Communication</t>
  </si>
  <si>
    <t xml:space="preserve">            6041_O Cash Salary - Financial Assistant</t>
  </si>
  <si>
    <t xml:space="preserve">            6065-O Payroll Taxes</t>
  </si>
  <si>
    <t xml:space="preserve">           6756_O - Home Office reimbursement</t>
  </si>
  <si>
    <t xml:space="preserve">            6856_O Rent Storage Space</t>
  </si>
  <si>
    <t xml:space="preserve">            6031_O Cash Salary - Communications</t>
  </si>
  <si>
    <t xml:space="preserve">         Total 6030_O Administrative Service</t>
  </si>
  <si>
    <t xml:space="preserve">            6756_O Home Office Reimbursement</t>
  </si>
  <si>
    <t>Continuing Education Scholarhips for Leaders</t>
  </si>
  <si>
    <t xml:space="preserve">             6058_M - Travel Business Mission</t>
  </si>
  <si>
    <t xml:space="preserve">         102 Community Savings - MM</t>
  </si>
  <si>
    <t xml:space="preserve">         110 Community Bank - Mexico Mission</t>
  </si>
  <si>
    <t xml:space="preserve">         120 PayPal</t>
  </si>
  <si>
    <t xml:space="preserve">         130 Presbytery Mission Exchange</t>
  </si>
  <si>
    <t xml:space="preserve">            14900 Vehicles</t>
  </si>
  <si>
    <t xml:space="preserve">            15210 Improvements - A/D</t>
  </si>
  <si>
    <t xml:space="preserve">         301.1 Morgan Stanley - MM 111909</t>
  </si>
  <si>
    <t xml:space="preserve">            301.11 Cash, MM</t>
  </si>
  <si>
    <t xml:space="preserve">            301.13 Stocks</t>
  </si>
  <si>
    <t xml:space="preserve">         Total 301.1 Morgan Stanley - MM 111909</t>
  </si>
  <si>
    <t xml:space="preserve">               2850.10 Elena Delhagen</t>
  </si>
  <si>
    <t xml:space="preserve">               2850.20 Lea Kone</t>
  </si>
  <si>
    <t xml:space="preserve">            26550 Deferred Revenue</t>
  </si>
  <si>
    <t xml:space="preserve">         </t>
  </si>
  <si>
    <t xml:space="preserve">            6041_O Cash Salary (Financial Assistant)</t>
  </si>
  <si>
    <t>Restricted
Income</t>
  </si>
  <si>
    <t>Reallocations General</t>
  </si>
  <si>
    <t>Other Budget Support Fund Expenses</t>
  </si>
  <si>
    <t>Prior Year adjustment</t>
  </si>
  <si>
    <t>Net Dedicated Accounts</t>
  </si>
  <si>
    <t>Net Camp Activity</t>
  </si>
  <si>
    <t>Income YTD - New Covenent - Operations</t>
  </si>
  <si>
    <t xml:space="preserve">         2090_W DD Camp Coordinator</t>
  </si>
  <si>
    <t xml:space="preserve">        2015_W Office Assistant</t>
  </si>
  <si>
    <t>8175_D</t>
  </si>
  <si>
    <t xml:space="preserve">         3440.40 TR-Unappropriated Endowment Earnings</t>
  </si>
  <si>
    <t xml:space="preserve">         2099_W Uncategorized Expenses Camp</t>
  </si>
  <si>
    <t>Vitality</t>
  </si>
  <si>
    <t xml:space="preserve">            6027_O Per diem</t>
  </si>
  <si>
    <t xml:space="preserve">          5135_O - New Church Development</t>
  </si>
  <si>
    <t xml:space="preserve">            6715_O -  Dues</t>
  </si>
  <si>
    <t>Arkport</t>
  </si>
  <si>
    <t xml:space="preserve">            2100_W Graded Camp/Program  Co-ordinator</t>
  </si>
  <si>
    <t xml:space="preserve">                       Rental Group Host</t>
  </si>
  <si>
    <t xml:space="preserve">                       Housekeeping</t>
  </si>
  <si>
    <t xml:space="preserve">               6056_O Board of Pensions</t>
  </si>
  <si>
    <t>Synod Grant Camp</t>
  </si>
  <si>
    <t>Fusion on Fire</t>
  </si>
  <si>
    <t xml:space="preserve">            4500_O Interest Income</t>
  </si>
  <si>
    <t>Endowment - Presbytery - General</t>
  </si>
  <si>
    <t>Gains/Losses</t>
  </si>
  <si>
    <t>dividends/interest</t>
  </si>
  <si>
    <t xml:space="preserve">Draw </t>
  </si>
  <si>
    <t>New Covenant Funds</t>
  </si>
  <si>
    <t>Endowment - Camp Whitman</t>
  </si>
  <si>
    <t xml:space="preserve">            6265_O Payroll Taxes - Admin Services</t>
  </si>
  <si>
    <t xml:space="preserve">               6052_O Housing</t>
  </si>
  <si>
    <t>Hattie Hardman Fund</t>
  </si>
  <si>
    <t xml:space="preserve">          Undistributed income</t>
  </si>
  <si>
    <t>7228_D</t>
  </si>
  <si>
    <t>8008_D</t>
  </si>
  <si>
    <t>8001_D</t>
  </si>
  <si>
    <t>8229_D</t>
  </si>
  <si>
    <t>8050_D</t>
  </si>
  <si>
    <t>7250_D</t>
  </si>
  <si>
    <t>7155_D</t>
  </si>
  <si>
    <t>7350_D</t>
  </si>
  <si>
    <t>7229_D</t>
  </si>
  <si>
    <t>7230_D</t>
  </si>
  <si>
    <t>8007_D</t>
  </si>
  <si>
    <t>USDA_NRCS</t>
  </si>
  <si>
    <t xml:space="preserve">         2045_W Assistant Cook</t>
  </si>
  <si>
    <t xml:space="preserve">         2103_W Chaplain Intern</t>
  </si>
  <si>
    <t xml:space="preserve">         2106_W Video/Media</t>
  </si>
  <si>
    <t xml:space="preserve">            2129_W NYS DBL</t>
  </si>
  <si>
    <t xml:space="preserve">            2995_W - Outside Contractors</t>
  </si>
  <si>
    <t xml:space="preserve">         2126_W Other/Outside Contractor</t>
  </si>
  <si>
    <t xml:space="preserve">        2222_W Permits</t>
  </si>
  <si>
    <t>Operations</t>
  </si>
  <si>
    <t xml:space="preserve">         2102_W Program Director/Assistant Director</t>
  </si>
  <si>
    <t xml:space="preserve">         2214_W Registration &amp; Program Administration</t>
  </si>
  <si>
    <t xml:space="preserve">           2621_W Lawn Mowing</t>
  </si>
  <si>
    <t xml:space="preserve">           2622_W Maintenance</t>
  </si>
  <si>
    <t xml:space="preserve">           2623_W Housekeeping</t>
  </si>
  <si>
    <t xml:space="preserve">           2624_W Assistant Directro - Camper &amp; Counselor Care</t>
  </si>
  <si>
    <t xml:space="preserve">           2625_W Farm &amp; Garden Manager</t>
  </si>
  <si>
    <t xml:space="preserve">            6501_M - Other</t>
  </si>
  <si>
    <t xml:space="preserve">             6796 _O Travel Presbytery Mtgs</t>
  </si>
  <si>
    <t xml:space="preserve">               6054_O  Major Medical/Dental</t>
  </si>
  <si>
    <t>Profit and Loss</t>
  </si>
  <si>
    <t>7351._D</t>
  </si>
  <si>
    <t>Hammondsport Scholarship</t>
  </si>
  <si>
    <t xml:space="preserve">      7325_D In &amp; Out</t>
  </si>
  <si>
    <t xml:space="preserve">           9999 - Uncatergorized Exp</t>
  </si>
  <si>
    <t xml:space="preserve">           6251_O other</t>
  </si>
  <si>
    <t>Total 2117_W Camp Payroll Other</t>
  </si>
  <si>
    <t xml:space="preserve">          2526_W First Presbyterian </t>
  </si>
  <si>
    <t>Red Creek</t>
  </si>
  <si>
    <t xml:space="preserve">               6058_M travel Missions</t>
  </si>
  <si>
    <t xml:space="preserve">            6266_O Payroll taxes - Operations</t>
  </si>
  <si>
    <t>7226_W</t>
  </si>
  <si>
    <t>Grant Donation</t>
  </si>
  <si>
    <t xml:space="preserve">          6298_O FSA</t>
  </si>
  <si>
    <t xml:space="preserve">            6298_O FSA</t>
  </si>
  <si>
    <t xml:space="preserve">         3440.15 TR - Purpose Restrictions</t>
  </si>
  <si>
    <t xml:space="preserve">            2127_W Recruitement</t>
  </si>
  <si>
    <t>Total Camp Whitman Scholarships</t>
  </si>
  <si>
    <t>Camp Whitman Scholarship Account</t>
  </si>
  <si>
    <t xml:space="preserve">          1670_W Gift in Kind - Camp</t>
  </si>
  <si>
    <t xml:space="preserve">        2627_Hospitality Mananger</t>
  </si>
  <si>
    <t xml:space="preserve">            2156_W Nurse Malpractice Insurance</t>
  </si>
  <si>
    <t xml:space="preserve">          2728_W Gift in Kind Camp</t>
  </si>
  <si>
    <t>7126</t>
  </si>
  <si>
    <t>Hammondsport Mission Reserve</t>
  </si>
  <si>
    <t>Prior Year - AdJ Heveron</t>
  </si>
  <si>
    <t xml:space="preserve">         305 Camp Whitman Scholarship Fund</t>
  </si>
  <si>
    <t xml:space="preserve">            New York Department of Taxation and Finance Payable</t>
  </si>
  <si>
    <t xml:space="preserve">      32000 Unrestricted Net Assets</t>
  </si>
  <si>
    <t xml:space="preserve">         2060_W Kitchen Staff</t>
  </si>
  <si>
    <t xml:space="preserve">         2625_W Farm &amp; Gardner</t>
  </si>
  <si>
    <t xml:space="preserve">        2102_W  Program Director/Creative Week Director</t>
  </si>
  <si>
    <t xml:space="preserve">            2728_W GIK Camp</t>
  </si>
  <si>
    <t xml:space="preserve">      555 Property Dissolution of Church</t>
  </si>
  <si>
    <t xml:space="preserve">            4512_O  Undistributed Income</t>
  </si>
  <si>
    <t xml:space="preserve">      800 Opening Bal Equity</t>
  </si>
  <si>
    <t xml:space="preserve">            2214_W Camp - Registration Coordinator</t>
  </si>
  <si>
    <t>Keep</t>
  </si>
  <si>
    <t xml:space="preserve">           2237_W Mileage</t>
  </si>
  <si>
    <t xml:space="preserve">         12500 Start Up Cash</t>
  </si>
  <si>
    <t xml:space="preserve">              6154_O  - Presbytery Leader Formation </t>
  </si>
  <si>
    <t xml:space="preserve">          1665_W - Interest/Dividends - Investments</t>
  </si>
  <si>
    <t xml:space="preserve">             6669_O Reimbursements Staff</t>
  </si>
  <si>
    <t>East Palmyra</t>
  </si>
  <si>
    <t xml:space="preserve">       2129_W  NYS DBL</t>
  </si>
  <si>
    <t xml:space="preserve">            2662_W Major Medical</t>
  </si>
  <si>
    <t xml:space="preserve">               2662_W Major Medical</t>
  </si>
  <si>
    <t xml:space="preserve">      1700_W Undistributed Income - Camp</t>
  </si>
  <si>
    <t xml:space="preserve">               6056_O Board of Pensions/Medical</t>
  </si>
  <si>
    <t xml:space="preserve">        Uncatorgize Camp Expenses</t>
  </si>
  <si>
    <t>Other Expenses</t>
  </si>
  <si>
    <t xml:space="preserve">   8000 DEDICATED EXPENSES</t>
  </si>
  <si>
    <t xml:space="preserve">   Total 8000 DEDICATED EXPENSES</t>
  </si>
  <si>
    <t>Total Other Expenses</t>
  </si>
  <si>
    <t>Capital Campaign</t>
  </si>
  <si>
    <t>BELLONA - Memorial Prsby Church of Bellona</t>
  </si>
  <si>
    <t>PALMYRA Western</t>
  </si>
  <si>
    <t xml:space="preserve">         1600_W Misc. Other Income/Grants/Interest</t>
  </si>
  <si>
    <t xml:space="preserve">               6058_M Travel/Business - Mission</t>
  </si>
  <si>
    <t xml:space="preserve">               6058_O Travel/Business</t>
  </si>
  <si>
    <t xml:space="preserve">        1660_W  Other income - Grants </t>
  </si>
  <si>
    <t xml:space="preserve">            15600 Vehicles &amp; Boats</t>
  </si>
  <si>
    <t>The Mankind Project</t>
  </si>
  <si>
    <t>Hammondsport Camp Scholarship</t>
  </si>
  <si>
    <t xml:space="preserve">      7111_D Camp _ TR</t>
  </si>
  <si>
    <t xml:space="preserve">         7003_D Capital Campaign</t>
  </si>
  <si>
    <t xml:space="preserve">      Total 7111_D Camp _ TR</t>
  </si>
  <si>
    <t>.</t>
  </si>
  <si>
    <t xml:space="preserve">       2080_W Off Season Maintenance Workers</t>
  </si>
  <si>
    <t xml:space="preserve">         2081_W Housekeeper/Maint Assist</t>
  </si>
  <si>
    <t xml:space="preserve">        2119_W Pathfinder Counselor</t>
  </si>
  <si>
    <t xml:space="preserve">           2663_W Life Insurance</t>
  </si>
  <si>
    <t xml:space="preserve">     4210_O  Synod Support Grant</t>
  </si>
  <si>
    <t xml:space="preserve">            4404_O Other Including Synod</t>
  </si>
  <si>
    <t xml:space="preserve">               2663 Life Insurance</t>
  </si>
  <si>
    <t xml:space="preserve">      2000.00 Camp Payrolls</t>
  </si>
  <si>
    <t xml:space="preserve">            Total 2603_W Camp Director</t>
  </si>
  <si>
    <t xml:space="preserve">            Total 2604_W Camp Property Manager</t>
  </si>
  <si>
    <t xml:space="preserve">         Total 2113_W Year Round Staff Salaries</t>
  </si>
  <si>
    <t xml:space="preserve">         Total 2117_W Camp Payroll Other</t>
  </si>
  <si>
    <t xml:space="preserve">      Total 2000.00 Camp Payrolls</t>
  </si>
  <si>
    <t xml:space="preserve">        2336_W Nurse - Night</t>
  </si>
  <si>
    <t xml:space="preserve">        2795_W Kitchen Manager</t>
  </si>
  <si>
    <t>Income YTD - New Covenent - Camp</t>
  </si>
  <si>
    <t xml:space="preserve">           6857_O  Disaster Kits</t>
  </si>
  <si>
    <t xml:space="preserve">            3440.21 TR - Operations/Missions</t>
  </si>
  <si>
    <t xml:space="preserve">            3440.25 TR - Camp</t>
  </si>
  <si>
    <t xml:space="preserve">         Total 3440.15 TR - Purpose Restrictions</t>
  </si>
  <si>
    <t xml:space="preserve">               2850.30 Camp Facility Manager  0287</t>
  </si>
  <si>
    <t xml:space="preserve">         2099_W Uncategorized Expense - Camp</t>
  </si>
  <si>
    <t>Listing of Report</t>
  </si>
  <si>
    <t xml:space="preserve">Page </t>
  </si>
  <si>
    <t>Summary Update - compares current year to Prior Yer</t>
  </si>
  <si>
    <t>P&amp;L Budget Mission &amp; Operations</t>
  </si>
  <si>
    <t>Bottom figure ties to Balance Sheet</t>
  </si>
  <si>
    <t>Camp YTD Budget to Actual Report</t>
  </si>
  <si>
    <t>`</t>
  </si>
  <si>
    <t>Class Report</t>
  </si>
  <si>
    <t>P&amp;L split between 4 classes</t>
  </si>
  <si>
    <t>6a &amp; 6b</t>
  </si>
  <si>
    <t>Net assets - details - ties to balance sheet net assets</t>
  </si>
  <si>
    <t>New Covenant</t>
  </si>
  <si>
    <t>details of New covanent ties to the statements</t>
  </si>
  <si>
    <t>AR 2024</t>
  </si>
  <si>
    <t>details on Accounts receivable</t>
  </si>
  <si>
    <t>Camp PR Tracking</t>
  </si>
  <si>
    <t>To track what needs to be transferred from Camp to operations</t>
  </si>
  <si>
    <t xml:space="preserve">Mission </t>
  </si>
  <si>
    <t>Details YTD</t>
  </si>
  <si>
    <t>Balance September 2024</t>
  </si>
  <si>
    <t xml:space="preserve">        2234_W Nurse Day</t>
  </si>
  <si>
    <t xml:space="preserve">            27851 Due to Payroll NYS</t>
  </si>
  <si>
    <t xml:space="preserve">        1700_W Undistributed income </t>
  </si>
  <si>
    <t>Total 2000.00 Camp Payroll</t>
  </si>
  <si>
    <t xml:space="preserve">            2108_W Program Director/Assistant Director</t>
  </si>
  <si>
    <t xml:space="preserve">               2102_W Salary</t>
  </si>
  <si>
    <t xml:space="preserve">            Total 2108_W Program Director/Assistant Director</t>
  </si>
  <si>
    <t>7336_D</t>
  </si>
  <si>
    <t>Thailand Scholarship</t>
  </si>
  <si>
    <t xml:space="preserve"> </t>
  </si>
  <si>
    <t xml:space="preserve">      3101_M PM  YTD AR Adjustment</t>
  </si>
  <si>
    <t>United Church of Marion</t>
  </si>
  <si>
    <t>Ar Aging</t>
  </si>
  <si>
    <t xml:space="preserve">       1665_W interest/Dividends - Investments</t>
  </si>
  <si>
    <t>Gains/Lossses Investments</t>
  </si>
  <si>
    <t xml:space="preserve">      1660_W Misc Income</t>
  </si>
  <si>
    <t xml:space="preserve">      Total 1660_W Misc Income</t>
  </si>
  <si>
    <t xml:space="preserve">         2126_W Other/Outside Contractors</t>
  </si>
  <si>
    <t xml:space="preserve">         Total 2126_W Other/Outside Contractors</t>
  </si>
  <si>
    <t xml:space="preserve">              2102_W Salary</t>
  </si>
  <si>
    <t xml:space="preserve">             2315_W Board of Pensions</t>
  </si>
  <si>
    <t>Prior YR Adj Camp</t>
  </si>
  <si>
    <t>prior YR Adj Operations</t>
  </si>
  <si>
    <t xml:space="preserve">Prior Year ops </t>
  </si>
  <si>
    <t>Prior Year camp</t>
  </si>
  <si>
    <t xml:space="preserve">            2624_W Assistant director - Camper &amp; Counselor Care</t>
  </si>
  <si>
    <t xml:space="preserve">            88888_O Undistributed Income</t>
  </si>
  <si>
    <t>will add this back into the 2025 reports</t>
  </si>
  <si>
    <t>P&amp;L Prior Year compa</t>
  </si>
  <si>
    <t>2a</t>
  </si>
  <si>
    <t>Paid 2025</t>
  </si>
  <si>
    <t>Balance 12/31/2024</t>
  </si>
  <si>
    <t>Total Due at 12/31/2024</t>
  </si>
  <si>
    <t>Pres Mission</t>
  </si>
  <si>
    <t>Other</t>
  </si>
  <si>
    <t>form</t>
  </si>
  <si>
    <t>retuned</t>
  </si>
  <si>
    <t>x</t>
  </si>
  <si>
    <t>2025 PER CAPITA &amp; MISSION</t>
  </si>
  <si>
    <t xml:space="preserve">Budget Overview: Camp 2025 Budget - FY25 P&amp;L </t>
  </si>
  <si>
    <t>Budget Overview: Operating &amp; Mission 2025 -</t>
  </si>
  <si>
    <t xml:space="preserve">      8100_D West VA Relief</t>
  </si>
  <si>
    <t>2024</t>
  </si>
  <si>
    <t>Balance at Dec 2024</t>
  </si>
  <si>
    <t>Activity 2025</t>
  </si>
  <si>
    <t>Balance at 12/31/24</t>
  </si>
  <si>
    <t>January - February, 2025</t>
  </si>
  <si>
    <t xml:space="preserve">            2120_W Workers Comp_Camp</t>
  </si>
  <si>
    <t xml:space="preserve">         2778_W Uncatorgorized Camp Expenses</t>
  </si>
  <si>
    <t xml:space="preserve">      8171_D Hay Grant</t>
  </si>
  <si>
    <t>Jan - Feb 2025</t>
  </si>
  <si>
    <t xml:space="preserve">           2778_W - Uncatorgorized camp expenses</t>
  </si>
  <si>
    <t>net dedicated - Missions</t>
  </si>
  <si>
    <t>Building Sale Dedicated Junius</t>
  </si>
  <si>
    <t>Jan - Feb, 2025</t>
  </si>
  <si>
    <t>Jan - Feb, 2024 (PY)</t>
  </si>
  <si>
    <t xml:space="preserve">            4404_O Other - including Synod</t>
  </si>
  <si>
    <t xml:space="preserve">            2628_W First Presbyterian</t>
  </si>
  <si>
    <t xml:space="preserve">            2237_W Mileage</t>
  </si>
  <si>
    <t xml:space="preserve">               6154_O Presby Leader Formation Course</t>
  </si>
  <si>
    <t xml:space="preserve">      7101_D Church</t>
  </si>
  <si>
    <t xml:space="preserve">         7123_D Junius</t>
  </si>
  <si>
    <t xml:space="preserve">      Total 7101_D Church</t>
  </si>
  <si>
    <t xml:space="preserve">      8175_D In &amp; Out</t>
  </si>
  <si>
    <t>Saturday, Mar 08, 2025 11:02:43 AM GMT-8 - Accrual Basis</t>
  </si>
  <si>
    <t>As of February 28, 2025</t>
  </si>
  <si>
    <t>As of Feb 28, 2025</t>
  </si>
  <si>
    <t>As of Feb 29, 2024 (PY)</t>
  </si>
  <si>
    <t xml:space="preserve">               15311 Boats - A/D</t>
  </si>
  <si>
    <t xml:space="preserve">               2850.31 Facilities</t>
  </si>
  <si>
    <t xml:space="preserve">               2855.10 Program Director   7676  2855.10</t>
  </si>
  <si>
    <t xml:space="preserve">               2855.20 Marjorie Ackermann  6826  2855.20</t>
  </si>
  <si>
    <t xml:space="preserve">               2855.21 Presbytery Leader</t>
  </si>
  <si>
    <t xml:space="preserve">            Credit Card (8114)</t>
  </si>
  <si>
    <t>Saturday, Mar 08, 2025 11:33:51 AM GMT-8 - Accrual Basis</t>
  </si>
  <si>
    <t>Sale of Junius</t>
  </si>
  <si>
    <t>feb</t>
  </si>
  <si>
    <t>Sunday, Mar 09, 2025 08:41:29 AM GMT-7 - Accrual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</si>
</sst>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409]mmm\-yy;@"/>
    <numFmt numFmtId="166" formatCode="#,##0.00\ _€"/>
    <numFmt numFmtId="167" formatCode="&quot;$&quot;* #,##0.00\ _€"/>
    <numFmt numFmtId="168" formatCode="mm/dd/yy;@"/>
  </numFmts>
  <fonts count="4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8"/>
      <name val="Arial"/>
      <family val="2"/>
    </font>
    <font>
      <u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</font>
    <font>
      <b/>
      <sz val="10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44" fontId="9" fillId="0" borderId="0" applyFont="0" applyFill="0" applyBorder="0" applyAlignment="0" applyProtection="0"/>
    <xf numFmtId="0" fontId="18" fillId="0" borderId="0"/>
  </cellStyleXfs>
  <cellXfs count="302">
    <xf numFmtId="0" fontId="0" fillId="0" borderId="0" xfId="0"/>
    <xf numFmtId="4" fontId="0" fillId="0" borderId="0" xfId="0" applyNumberFormat="1"/>
    <xf numFmtId="7" fontId="0" fillId="0" borderId="15" xfId="4" applyNumberFormat="1" applyFont="1" applyFill="1" applyBorder="1"/>
    <xf numFmtId="7" fontId="9" fillId="0" borderId="15" xfId="4" applyNumberFormat="1" applyFont="1" applyFill="1" applyBorder="1"/>
    <xf numFmtId="4" fontId="15" fillId="0" borderId="0" xfId="2" applyNumberFormat="1" applyFont="1"/>
    <xf numFmtId="7" fontId="10" fillId="0" borderId="15" xfId="4" applyNumberFormat="1" applyFont="1" applyFill="1" applyBorder="1"/>
    <xf numFmtId="166" fontId="15" fillId="0" borderId="0" xfId="0" applyNumberFormat="1" applyFont="1" applyAlignment="1">
      <alignment horizontal="right" wrapText="1"/>
    </xf>
    <xf numFmtId="0" fontId="14" fillId="0" borderId="0" xfId="0" applyFont="1" applyAlignment="1">
      <alignment horizontal="left" wrapText="1"/>
    </xf>
    <xf numFmtId="166" fontId="15" fillId="0" borderId="0" xfId="0" applyNumberFormat="1" applyFont="1" applyAlignment="1">
      <alignment wrapText="1"/>
    </xf>
    <xf numFmtId="167" fontId="14" fillId="0" borderId="14" xfId="0" applyNumberFormat="1" applyFont="1" applyBorder="1" applyAlignment="1">
      <alignment horizontal="right" wrapText="1"/>
    </xf>
    <xf numFmtId="0" fontId="11" fillId="0" borderId="34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/>
    <xf numFmtId="166" fontId="14" fillId="0" borderId="0" xfId="0" applyNumberFormat="1" applyFont="1" applyAlignment="1">
      <alignment horizontal="right" wrapText="1"/>
    </xf>
    <xf numFmtId="4" fontId="16" fillId="0" borderId="0" xfId="2" applyNumberFormat="1" applyFont="1"/>
    <xf numFmtId="4" fontId="19" fillId="0" borderId="0" xfId="2" applyNumberFormat="1" applyFont="1" applyAlignment="1">
      <alignment horizontal="center"/>
    </xf>
    <xf numFmtId="49" fontId="15" fillId="0" borderId="0" xfId="2" applyNumberFormat="1" applyFont="1"/>
    <xf numFmtId="44" fontId="16" fillId="0" borderId="0" xfId="4" applyFont="1" applyFill="1" applyBorder="1"/>
    <xf numFmtId="49" fontId="15" fillId="0" borderId="0" xfId="2" applyNumberFormat="1" applyFont="1" applyAlignment="1">
      <alignment wrapText="1"/>
    </xf>
    <xf numFmtId="49" fontId="15" fillId="0" borderId="1" xfId="2" applyNumberFormat="1" applyFont="1" applyBorder="1"/>
    <xf numFmtId="4" fontId="16" fillId="0" borderId="1" xfId="2" applyNumberFormat="1" applyFont="1" applyBorder="1"/>
    <xf numFmtId="0" fontId="16" fillId="0" borderId="15" xfId="2" applyFont="1" applyBorder="1" applyAlignment="1">
      <alignment horizontal="center" vertical="top" wrapText="1"/>
    </xf>
    <xf numFmtId="49" fontId="16" fillId="0" borderId="0" xfId="2" applyNumberFormat="1" applyFont="1" applyAlignment="1">
      <alignment horizontal="left"/>
    </xf>
    <xf numFmtId="0" fontId="16" fillId="0" borderId="0" xfId="2" applyFont="1"/>
    <xf numFmtId="4" fontId="16" fillId="0" borderId="34" xfId="2" applyNumberFormat="1" applyFont="1" applyBorder="1"/>
    <xf numFmtId="4" fontId="15" fillId="0" borderId="1" xfId="2" applyNumberFormat="1" applyFont="1" applyBorder="1"/>
    <xf numFmtId="49" fontId="15" fillId="0" borderId="0" xfId="2" applyNumberFormat="1" applyFont="1" applyAlignment="1">
      <alignment horizontal="center"/>
    </xf>
    <xf numFmtId="0" fontId="17" fillId="0" borderId="0" xfId="0" applyFont="1"/>
    <xf numFmtId="4" fontId="15" fillId="0" borderId="23" xfId="2" applyNumberFormat="1" applyFont="1" applyBorder="1"/>
    <xf numFmtId="0" fontId="19" fillId="0" borderId="0" xfId="2" applyFont="1" applyAlignment="1">
      <alignment horizontal="center"/>
    </xf>
    <xf numFmtId="49" fontId="20" fillId="0" borderId="0" xfId="2" applyNumberFormat="1" applyFont="1" applyAlignment="1">
      <alignment horizontal="center"/>
    </xf>
    <xf numFmtId="4" fontId="20" fillId="0" borderId="0" xfId="2" applyNumberFormat="1" applyFont="1" applyAlignment="1">
      <alignment horizontal="center"/>
    </xf>
    <xf numFmtId="4" fontId="15" fillId="0" borderId="2" xfId="2" applyNumberFormat="1" applyFont="1" applyBorder="1"/>
    <xf numFmtId="167" fontId="14" fillId="0" borderId="0" xfId="0" applyNumberFormat="1" applyFont="1" applyAlignment="1">
      <alignment horizontal="right" wrapText="1"/>
    </xf>
    <xf numFmtId="0" fontId="15" fillId="0" borderId="0" xfId="2" applyFont="1"/>
    <xf numFmtId="0" fontId="14" fillId="0" borderId="0" xfId="2" applyFont="1" applyAlignment="1">
      <alignment horizontal="center"/>
    </xf>
    <xf numFmtId="0" fontId="16" fillId="0" borderId="33" xfId="2" applyFont="1" applyBorder="1" applyAlignment="1">
      <alignment horizontal="center"/>
    </xf>
    <xf numFmtId="0" fontId="16" fillId="0" borderId="0" xfId="2" applyFont="1" applyAlignment="1">
      <alignment horizontal="center"/>
    </xf>
    <xf numFmtId="49" fontId="15" fillId="0" borderId="0" xfId="2" applyNumberFormat="1" applyFont="1" applyAlignment="1">
      <alignment vertical="top"/>
    </xf>
    <xf numFmtId="0" fontId="14" fillId="0" borderId="0" xfId="2" applyFont="1" applyAlignment="1">
      <alignment horizontal="center" vertical="top"/>
    </xf>
    <xf numFmtId="49" fontId="15" fillId="0" borderId="0" xfId="2" applyNumberFormat="1" applyFont="1" applyAlignment="1">
      <alignment horizontal="center" vertical="top"/>
    </xf>
    <xf numFmtId="0" fontId="16" fillId="0" borderId="25" xfId="2" applyFont="1" applyBorder="1" applyAlignment="1">
      <alignment horizontal="center" vertical="top" wrapText="1"/>
    </xf>
    <xf numFmtId="0" fontId="16" fillId="0" borderId="33" xfId="2" applyFont="1" applyBorder="1" applyAlignment="1">
      <alignment horizontal="center" vertical="top" wrapText="1"/>
    </xf>
    <xf numFmtId="0" fontId="16" fillId="0" borderId="0" xfId="2" applyFont="1" applyAlignment="1">
      <alignment horizontal="center" vertical="top"/>
    </xf>
    <xf numFmtId="165" fontId="16" fillId="0" borderId="15" xfId="2" applyNumberFormat="1" applyFont="1" applyBorder="1" applyAlignment="1">
      <alignment horizontal="center" vertical="top"/>
    </xf>
    <xf numFmtId="44" fontId="16" fillId="0" borderId="0" xfId="2" applyNumberFormat="1" applyFont="1"/>
    <xf numFmtId="4" fontId="21" fillId="0" borderId="0" xfId="2" applyNumberFormat="1" applyFont="1"/>
    <xf numFmtId="4" fontId="14" fillId="0" borderId="2" xfId="2" applyNumberFormat="1" applyFont="1" applyBorder="1"/>
    <xf numFmtId="165" fontId="16" fillId="0" borderId="0" xfId="2" applyNumberFormat="1" applyFont="1"/>
    <xf numFmtId="7" fontId="9" fillId="0" borderId="28" xfId="4" applyNumberFormat="1" applyFont="1" applyFill="1" applyBorder="1"/>
    <xf numFmtId="7" fontId="9" fillId="0" borderId="0" xfId="4" applyNumberFormat="1" applyFont="1" applyFill="1" applyBorder="1"/>
    <xf numFmtId="166" fontId="0" fillId="0" borderId="0" xfId="0" applyNumberFormat="1"/>
    <xf numFmtId="0" fontId="16" fillId="0" borderId="0" xfId="2" applyFont="1" applyAlignment="1">
      <alignment wrapText="1"/>
    </xf>
    <xf numFmtId="4" fontId="8" fillId="0" borderId="0" xfId="0" applyNumberFormat="1" applyFont="1"/>
    <xf numFmtId="0" fontId="16" fillId="0" borderId="34" xfId="2" applyFont="1" applyBorder="1"/>
    <xf numFmtId="166" fontId="14" fillId="0" borderId="0" xfId="0" applyNumberFormat="1" applyFont="1" applyAlignment="1">
      <alignment wrapText="1"/>
    </xf>
    <xf numFmtId="0" fontId="23" fillId="0" borderId="0" xfId="0" applyFont="1" applyAlignment="1">
      <alignment horizontal="left" wrapText="1"/>
    </xf>
    <xf numFmtId="0" fontId="24" fillId="0" borderId="15" xfId="0" applyFont="1" applyBorder="1" applyAlignment="1">
      <alignment wrapText="1"/>
    </xf>
    <xf numFmtId="44" fontId="16" fillId="0" borderId="1" xfId="4" applyFont="1" applyFill="1" applyBorder="1"/>
    <xf numFmtId="4" fontId="17" fillId="0" borderId="0" xfId="0" applyNumberFormat="1" applyFont="1"/>
    <xf numFmtId="0" fontId="15" fillId="0" borderId="9" xfId="2" applyFont="1" applyBorder="1"/>
    <xf numFmtId="0" fontId="16" fillId="0" borderId="6" xfId="2" applyFont="1" applyBorder="1"/>
    <xf numFmtId="4" fontId="15" fillId="0" borderId="36" xfId="2" applyNumberFormat="1" applyFont="1" applyBorder="1"/>
    <xf numFmtId="4" fontId="16" fillId="0" borderId="12" xfId="2" applyNumberFormat="1" applyFont="1" applyBorder="1"/>
    <xf numFmtId="4" fontId="15" fillId="0" borderId="36" xfId="2" applyNumberFormat="1" applyFont="1" applyBorder="1" applyAlignment="1">
      <alignment horizontal="center"/>
    </xf>
    <xf numFmtId="4" fontId="16" fillId="0" borderId="18" xfId="2" applyNumberFormat="1" applyFont="1" applyBorder="1"/>
    <xf numFmtId="4" fontId="16" fillId="0" borderId="42" xfId="2" applyNumberFormat="1" applyFont="1" applyBorder="1"/>
    <xf numFmtId="0" fontId="16" fillId="0" borderId="12" xfId="2" applyFont="1" applyBorder="1"/>
    <xf numFmtId="0" fontId="16" fillId="0" borderId="36" xfId="2" applyFont="1" applyBorder="1"/>
    <xf numFmtId="4" fontId="15" fillId="0" borderId="35" xfId="2" applyNumberFormat="1" applyFont="1" applyBorder="1"/>
    <xf numFmtId="0" fontId="28" fillId="0" borderId="0" xfId="0" applyFont="1" applyAlignment="1">
      <alignment horizontal="left" wrapText="1"/>
    </xf>
    <xf numFmtId="166" fontId="29" fillId="0" borderId="0" xfId="0" applyNumberFormat="1" applyFont="1" applyAlignment="1">
      <alignment horizontal="right" wrapText="1"/>
    </xf>
    <xf numFmtId="49" fontId="15" fillId="0" borderId="15" xfId="2" applyNumberFormat="1" applyFont="1" applyBorder="1" applyAlignment="1">
      <alignment horizontal="center" vertical="top" wrapText="1"/>
    </xf>
    <xf numFmtId="167" fontId="14" fillId="2" borderId="14" xfId="0" applyNumberFormat="1" applyFont="1" applyFill="1" applyBorder="1" applyAlignment="1">
      <alignment horizontal="right" wrapText="1"/>
    </xf>
    <xf numFmtId="166" fontId="30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center" wrapText="1"/>
    </xf>
    <xf numFmtId="166" fontId="15" fillId="0" borderId="1" xfId="0" applyNumberFormat="1" applyFont="1" applyBorder="1" applyAlignment="1">
      <alignment horizontal="right" wrapText="1"/>
    </xf>
    <xf numFmtId="0" fontId="14" fillId="5" borderId="0" xfId="0" applyFont="1" applyFill="1" applyAlignment="1">
      <alignment horizontal="left" wrapText="1"/>
    </xf>
    <xf numFmtId="167" fontId="14" fillId="5" borderId="14" xfId="0" applyNumberFormat="1" applyFont="1" applyFill="1" applyBorder="1" applyAlignment="1">
      <alignment horizontal="right" wrapText="1"/>
    </xf>
    <xf numFmtId="0" fontId="0" fillId="5" borderId="0" xfId="0" applyFill="1"/>
    <xf numFmtId="4" fontId="10" fillId="0" borderId="0" xfId="0" applyNumberFormat="1" applyFont="1"/>
    <xf numFmtId="4" fontId="15" fillId="0" borderId="36" xfId="2" applyNumberFormat="1" applyFont="1" applyBorder="1" applyAlignment="1">
      <alignment horizontal="left"/>
    </xf>
    <xf numFmtId="4" fontId="14" fillId="0" borderId="36" xfId="2" applyNumberFormat="1" applyFont="1" applyBorder="1" applyAlignment="1">
      <alignment horizontal="center"/>
    </xf>
    <xf numFmtId="166" fontId="32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4" fontId="15" fillId="2" borderId="0" xfId="2" applyNumberFormat="1" applyFont="1" applyFill="1"/>
    <xf numFmtId="4" fontId="34" fillId="3" borderId="40" xfId="0" applyNumberFormat="1" applyFont="1" applyFill="1" applyBorder="1"/>
    <xf numFmtId="167" fontId="35" fillId="0" borderId="14" xfId="0" applyNumberFormat="1" applyFont="1" applyBorder="1" applyAlignment="1">
      <alignment horizontal="right" wrapText="1"/>
    </xf>
    <xf numFmtId="0" fontId="16" fillId="0" borderId="18" xfId="2" applyFont="1" applyBorder="1"/>
    <xf numFmtId="166" fontId="36" fillId="0" borderId="0" xfId="0" applyNumberFormat="1" applyFont="1" applyAlignment="1">
      <alignment horizontal="right" wrapText="1"/>
    </xf>
    <xf numFmtId="44" fontId="0" fillId="0" borderId="0" xfId="4" applyFont="1" applyFill="1" applyAlignment="1"/>
    <xf numFmtId="44" fontId="0" fillId="0" borderId="0" xfId="4" applyFont="1" applyFill="1" applyAlignment="1">
      <alignment horizontal="center"/>
    </xf>
    <xf numFmtId="44" fontId="0" fillId="0" borderId="0" xfId="4" applyFont="1" applyFill="1"/>
    <xf numFmtId="49" fontId="15" fillId="0" borderId="34" xfId="2" applyNumberFormat="1" applyFont="1" applyBorder="1"/>
    <xf numFmtId="4" fontId="15" fillId="0" borderId="34" xfId="2" applyNumberFormat="1" applyFont="1" applyBorder="1"/>
    <xf numFmtId="4" fontId="21" fillId="0" borderId="34" xfId="2" applyNumberFormat="1" applyFont="1" applyBorder="1"/>
    <xf numFmtId="44" fontId="16" fillId="0" borderId="34" xfId="4" applyFont="1" applyFill="1" applyBorder="1"/>
    <xf numFmtId="49" fontId="15" fillId="0" borderId="23" xfId="2" applyNumberFormat="1" applyFont="1" applyBorder="1" applyAlignment="1">
      <alignment horizontal="center"/>
    </xf>
    <xf numFmtId="44" fontId="10" fillId="0" borderId="0" xfId="4" applyFont="1" applyFill="1" applyAlignment="1"/>
    <xf numFmtId="44" fontId="10" fillId="0" borderId="0" xfId="4" applyFont="1" applyFill="1" applyAlignment="1">
      <alignment horizontal="center"/>
    </xf>
    <xf numFmtId="44" fontId="10" fillId="0" borderId="0" xfId="4" applyFont="1" applyFill="1"/>
    <xf numFmtId="44" fontId="16" fillId="0" borderId="9" xfId="4" applyFont="1" applyFill="1" applyBorder="1"/>
    <xf numFmtId="4" fontId="16" fillId="0" borderId="6" xfId="2" applyNumberFormat="1" applyFont="1" applyBorder="1"/>
    <xf numFmtId="44" fontId="16" fillId="0" borderId="36" xfId="4" applyFont="1" applyFill="1" applyBorder="1"/>
    <xf numFmtId="4" fontId="16" fillId="0" borderId="35" xfId="2" applyNumberFormat="1" applyFont="1" applyBorder="1"/>
    <xf numFmtId="4" fontId="16" fillId="0" borderId="36" xfId="2" applyNumberFormat="1" applyFont="1" applyBorder="1"/>
    <xf numFmtId="0" fontId="16" fillId="0" borderId="35" xfId="2" applyFont="1" applyBorder="1"/>
    <xf numFmtId="166" fontId="38" fillId="0" borderId="0" xfId="0" applyNumberFormat="1" applyFont="1" applyAlignment="1">
      <alignment horizontal="right" wrapText="1"/>
    </xf>
    <xf numFmtId="0" fontId="0" fillId="0" borderId="1" xfId="0" applyBorder="1"/>
    <xf numFmtId="0" fontId="0" fillId="0" borderId="0" xfId="0" applyAlignment="1">
      <alignment horizontal="center" wrapText="1"/>
    </xf>
    <xf numFmtId="4" fontId="0" fillId="2" borderId="0" xfId="0" applyNumberFormat="1" applyFill="1"/>
    <xf numFmtId="0" fontId="0" fillId="0" borderId="12" xfId="0" applyBorder="1"/>
    <xf numFmtId="4" fontId="16" fillId="2" borderId="36" xfId="2" applyNumberFormat="1" applyFont="1" applyFill="1" applyBorder="1"/>
    <xf numFmtId="4" fontId="16" fillId="2" borderId="12" xfId="2" applyNumberFormat="1" applyFont="1" applyFill="1" applyBorder="1"/>
    <xf numFmtId="4" fontId="16" fillId="2" borderId="0" xfId="2" applyNumberFormat="1" applyFont="1" applyFill="1"/>
    <xf numFmtId="0" fontId="40" fillId="0" borderId="0" xfId="0" applyFont="1" applyAlignment="1">
      <alignment horizontal="left" wrapText="1"/>
    </xf>
    <xf numFmtId="166" fontId="41" fillId="0" borderId="0" xfId="0" applyNumberFormat="1" applyFont="1" applyAlignment="1">
      <alignment wrapText="1"/>
    </xf>
    <xf numFmtId="166" fontId="41" fillId="0" borderId="0" xfId="0" applyNumberFormat="1" applyFont="1" applyAlignment="1">
      <alignment horizontal="right" wrapText="1"/>
    </xf>
    <xf numFmtId="167" fontId="40" fillId="0" borderId="14" xfId="0" applyNumberFormat="1" applyFont="1" applyBorder="1" applyAlignment="1">
      <alignment horizontal="right" wrapText="1"/>
    </xf>
    <xf numFmtId="166" fontId="15" fillId="2" borderId="0" xfId="0" applyNumberFormat="1" applyFont="1" applyFill="1" applyAlignment="1">
      <alignment horizontal="right" wrapText="1"/>
    </xf>
    <xf numFmtId="44" fontId="0" fillId="0" borderId="0" xfId="0" applyNumberFormat="1"/>
    <xf numFmtId="0" fontId="14" fillId="2" borderId="0" xfId="0" applyFont="1" applyFill="1" applyAlignment="1">
      <alignment horizontal="left" wrapText="1"/>
    </xf>
    <xf numFmtId="0" fontId="0" fillId="2" borderId="0" xfId="0" applyFill="1"/>
    <xf numFmtId="0" fontId="0" fillId="2" borderId="0" xfId="0" applyFill="1" applyAlignment="1">
      <alignment horizontal="center"/>
    </xf>
    <xf numFmtId="4" fontId="15" fillId="0" borderId="0" xfId="0" applyNumberFormat="1" applyFont="1" applyAlignment="1">
      <alignment horizontal="right" wrapText="1"/>
    </xf>
    <xf numFmtId="4" fontId="33" fillId="0" borderId="0" xfId="0" applyNumberFormat="1" applyFont="1"/>
    <xf numFmtId="166" fontId="22" fillId="0" borderId="0" xfId="0" applyNumberFormat="1" applyFont="1" applyAlignment="1">
      <alignment horizontal="right" wrapText="1"/>
    </xf>
    <xf numFmtId="167" fontId="37" fillId="0" borderId="14" xfId="0" applyNumberFormat="1" applyFont="1" applyBorder="1" applyAlignment="1">
      <alignment horizontal="right" wrapText="1"/>
    </xf>
    <xf numFmtId="4" fontId="15" fillId="0" borderId="0" xfId="0" applyNumberFormat="1" applyFont="1" applyAlignment="1">
      <alignment wrapText="1"/>
    </xf>
    <xf numFmtId="4" fontId="15" fillId="0" borderId="15" xfId="0" applyNumberFormat="1" applyFont="1" applyBorder="1" applyAlignment="1">
      <alignment wrapText="1"/>
    </xf>
    <xf numFmtId="166" fontId="37" fillId="0" borderId="1" xfId="0" applyNumberFormat="1" applyFont="1" applyBorder="1" applyAlignment="1">
      <alignment wrapText="1"/>
    </xf>
    <xf numFmtId="4" fontId="34" fillId="0" borderId="0" xfId="0" applyNumberFormat="1" applyFont="1"/>
    <xf numFmtId="4" fontId="39" fillId="0" borderId="0" xfId="0" applyNumberFormat="1" applyFont="1"/>
    <xf numFmtId="4" fontId="0" fillId="0" borderId="34" xfId="0" applyNumberFormat="1" applyBorder="1"/>
    <xf numFmtId="4" fontId="34" fillId="0" borderId="40" xfId="0" applyNumberFormat="1" applyFont="1" applyBorder="1"/>
    <xf numFmtId="166" fontId="27" fillId="0" borderId="0" xfId="0" applyNumberFormat="1" applyFont="1" applyAlignment="1">
      <alignment horizontal="right" wrapText="1"/>
    </xf>
    <xf numFmtId="166" fontId="32" fillId="2" borderId="0" xfId="0" applyNumberFormat="1" applyFont="1" applyFill="1" applyAlignment="1">
      <alignment horizontal="right" wrapText="1"/>
    </xf>
    <xf numFmtId="0" fontId="44" fillId="0" borderId="34" xfId="0" applyFont="1" applyBorder="1" applyAlignment="1">
      <alignment horizontal="center" wrapText="1"/>
    </xf>
    <xf numFmtId="0" fontId="45" fillId="0" borderId="0" xfId="0" applyFont="1" applyAlignment="1">
      <alignment horizontal="left" wrapText="1"/>
    </xf>
    <xf numFmtId="166" fontId="46" fillId="0" borderId="0" xfId="0" applyNumberFormat="1" applyFont="1" applyAlignment="1">
      <alignment wrapText="1"/>
    </xf>
    <xf numFmtId="166" fontId="46" fillId="0" borderId="0" xfId="0" applyNumberFormat="1" applyFont="1" applyAlignment="1">
      <alignment horizontal="right" wrapText="1"/>
    </xf>
    <xf numFmtId="167" fontId="45" fillId="0" borderId="14" xfId="0" applyNumberFormat="1" applyFont="1" applyBorder="1" applyAlignment="1">
      <alignment horizontal="right" wrapText="1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2" fillId="0" borderId="0" xfId="0" applyFont="1"/>
    <xf numFmtId="0" fontId="0" fillId="0" borderId="1" xfId="0" applyBorder="1" applyAlignment="1">
      <alignment horizontal="left" inden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10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" fontId="10" fillId="0" borderId="39" xfId="0" applyNumberFormat="1" applyFont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0" fontId="6" fillId="0" borderId="15" xfId="0" applyFont="1" applyBorder="1"/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9" xfId="0" applyBorder="1" applyAlignment="1">
      <alignment horizontal="center"/>
    </xf>
    <xf numFmtId="14" fontId="10" fillId="0" borderId="1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 wrapText="1"/>
    </xf>
    <xf numFmtId="168" fontId="10" fillId="0" borderId="0" xfId="0" applyNumberFormat="1" applyFont="1" applyAlignment="1">
      <alignment horizontal="center"/>
    </xf>
    <xf numFmtId="0" fontId="5" fillId="0" borderId="16" xfId="0" applyFont="1" applyBorder="1"/>
    <xf numFmtId="0" fontId="5" fillId="0" borderId="17" xfId="0" applyFont="1" applyBorder="1" applyAlignment="1">
      <alignment horizontal="left" indent="1"/>
    </xf>
    <xf numFmtId="165" fontId="5" fillId="0" borderId="16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10" fillId="0" borderId="37" xfId="0" applyNumberFormat="1" applyFont="1" applyBorder="1" applyAlignment="1">
      <alignment horizontal="center"/>
    </xf>
    <xf numFmtId="4" fontId="10" fillId="0" borderId="19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2" fontId="10" fillId="0" borderId="0" xfId="0" applyNumberFormat="1" applyFont="1" applyAlignment="1">
      <alignment horizontal="center" wrapText="1"/>
    </xf>
    <xf numFmtId="168" fontId="10" fillId="0" borderId="0" xfId="0" applyNumberFormat="1" applyFont="1"/>
    <xf numFmtId="0" fontId="0" fillId="0" borderId="20" xfId="0" applyBorder="1"/>
    <xf numFmtId="0" fontId="0" fillId="0" borderId="21" xfId="0" applyBorder="1" applyAlignment="1">
      <alignment horizontal="left" indent="1"/>
    </xf>
    <xf numFmtId="0" fontId="0" fillId="0" borderId="15" xfId="0" applyBorder="1"/>
    <xf numFmtId="4" fontId="0" fillId="0" borderId="20" xfId="0" applyNumberFormat="1" applyBorder="1"/>
    <xf numFmtId="164" fontId="0" fillId="0" borderId="22" xfId="0" applyNumberFormat="1" applyBorder="1" applyAlignment="1">
      <alignment horizontal="center"/>
    </xf>
    <xf numFmtId="164" fontId="0" fillId="0" borderId="34" xfId="0" applyNumberFormat="1" applyBorder="1"/>
    <xf numFmtId="4" fontId="0" fillId="0" borderId="15" xfId="0" applyNumberFormat="1" applyBorder="1" applyAlignment="1">
      <alignment horizontal="right"/>
    </xf>
    <xf numFmtId="4" fontId="0" fillId="0" borderId="43" xfId="0" applyNumberFormat="1" applyBorder="1" applyAlignment="1">
      <alignment horizontal="right"/>
    </xf>
    <xf numFmtId="4" fontId="0" fillId="0" borderId="22" xfId="0" applyNumberFormat="1" applyBorder="1"/>
    <xf numFmtId="164" fontId="0" fillId="0" borderId="0" xfId="0" applyNumberFormat="1"/>
    <xf numFmtId="4" fontId="0" fillId="0" borderId="23" xfId="0" applyNumberFormat="1" applyBorder="1"/>
    <xf numFmtId="4" fontId="10" fillId="0" borderId="15" xfId="0" applyNumberFormat="1" applyFont="1" applyBorder="1"/>
    <xf numFmtId="0" fontId="0" fillId="0" borderId="24" xfId="0" applyBorder="1"/>
    <xf numFmtId="0" fontId="0" fillId="0" borderId="25" xfId="0" applyBorder="1" applyAlignment="1">
      <alignment horizontal="left" indent="1"/>
    </xf>
    <xf numFmtId="4" fontId="0" fillId="0" borderId="24" xfId="0" applyNumberFormat="1" applyBorder="1"/>
    <xf numFmtId="164" fontId="0" fillId="0" borderId="15" xfId="0" applyNumberFormat="1" applyBorder="1" applyAlignment="1">
      <alignment horizontal="center"/>
    </xf>
    <xf numFmtId="164" fontId="0" fillId="0" borderId="38" xfId="0" applyNumberFormat="1" applyBorder="1"/>
    <xf numFmtId="4" fontId="0" fillId="0" borderId="33" xfId="0" applyNumberFormat="1" applyBorder="1" applyAlignment="1">
      <alignment horizontal="right"/>
    </xf>
    <xf numFmtId="4" fontId="0" fillId="0" borderId="15" xfId="0" applyNumberFormat="1" applyBorder="1"/>
    <xf numFmtId="4" fontId="10" fillId="0" borderId="15" xfId="0" applyNumberFormat="1" applyFont="1" applyBorder="1" applyAlignment="1">
      <alignment horizontal="right"/>
    </xf>
    <xf numFmtId="4" fontId="10" fillId="0" borderId="33" xfId="0" applyNumberFormat="1" applyFont="1" applyBorder="1" applyAlignment="1">
      <alignment horizontal="right"/>
    </xf>
    <xf numFmtId="4" fontId="10" fillId="0" borderId="24" xfId="0" applyNumberFormat="1" applyFont="1" applyBorder="1"/>
    <xf numFmtId="0" fontId="10" fillId="0" borderId="24" xfId="0" applyFont="1" applyBorder="1"/>
    <xf numFmtId="0" fontId="10" fillId="0" borderId="25" xfId="0" applyFont="1" applyBorder="1" applyAlignment="1">
      <alignment horizontal="left" wrapText="1" indent="1"/>
    </xf>
    <xf numFmtId="0" fontId="10" fillId="0" borderId="15" xfId="0" applyFont="1" applyBorder="1"/>
    <xf numFmtId="164" fontId="10" fillId="0" borderId="15" xfId="0" applyNumberFormat="1" applyFont="1" applyBorder="1" applyAlignment="1">
      <alignment horizontal="center"/>
    </xf>
    <xf numFmtId="164" fontId="10" fillId="0" borderId="38" xfId="0" applyNumberFormat="1" applyFont="1" applyBorder="1"/>
    <xf numFmtId="164" fontId="10" fillId="0" borderId="0" xfId="0" applyNumberFormat="1" applyFont="1"/>
    <xf numFmtId="4" fontId="10" fillId="0" borderId="23" xfId="0" applyNumberFormat="1" applyFont="1" applyBorder="1"/>
    <xf numFmtId="0" fontId="10" fillId="0" borderId="25" xfId="0" applyFont="1" applyBorder="1" applyAlignment="1">
      <alignment horizontal="left" indent="1"/>
    </xf>
    <xf numFmtId="166" fontId="31" fillId="0" borderId="0" xfId="0" applyNumberFormat="1" applyFont="1" applyAlignment="1">
      <alignment horizontal="right" wrapText="1"/>
    </xf>
    <xf numFmtId="0" fontId="0" fillId="0" borderId="26" xfId="0" applyBorder="1"/>
    <xf numFmtId="0" fontId="0" fillId="0" borderId="27" xfId="0" applyBorder="1" applyAlignment="1">
      <alignment horizontal="left" indent="1"/>
    </xf>
    <xf numFmtId="0" fontId="0" fillId="0" borderId="26" xfId="0" applyBorder="1" applyAlignment="1">
      <alignment horizontal="right" indent="1"/>
    </xf>
    <xf numFmtId="4" fontId="0" fillId="0" borderId="26" xfId="0" applyNumberFormat="1" applyBorder="1"/>
    <xf numFmtId="164" fontId="0" fillId="0" borderId="14" xfId="0" applyNumberFormat="1" applyBorder="1"/>
    <xf numFmtId="4" fontId="0" fillId="0" borderId="44" xfId="0" applyNumberFormat="1" applyBorder="1" applyAlignment="1">
      <alignment horizontal="right"/>
    </xf>
    <xf numFmtId="4" fontId="0" fillId="0" borderId="28" xfId="0" applyNumberFormat="1" applyBorder="1"/>
    <xf numFmtId="0" fontId="0" fillId="0" borderId="14" xfId="0" applyBorder="1"/>
    <xf numFmtId="0" fontId="0" fillId="0" borderId="11" xfId="0" applyBorder="1" applyAlignment="1">
      <alignment horizontal="left" indent="1"/>
    </xf>
    <xf numFmtId="0" fontId="0" fillId="0" borderId="15" xfId="0" applyBorder="1" applyAlignment="1">
      <alignment horizontal="center"/>
    </xf>
    <xf numFmtId="0" fontId="0" fillId="0" borderId="28" xfId="0" applyBorder="1" applyAlignment="1">
      <alignment horizontal="center"/>
    </xf>
    <xf numFmtId="4" fontId="10" fillId="0" borderId="22" xfId="0" applyNumberFormat="1" applyFont="1" applyBorder="1"/>
    <xf numFmtId="0" fontId="6" fillId="0" borderId="29" xfId="0" applyFont="1" applyBorder="1"/>
    <xf numFmtId="0" fontId="6" fillId="0" borderId="30" xfId="0" applyFont="1" applyBorder="1" applyAlignment="1">
      <alignment horizontal="left" indent="1"/>
    </xf>
    <xf numFmtId="0" fontId="6" fillId="0" borderId="29" xfId="0" applyFont="1" applyBorder="1" applyAlignment="1">
      <alignment horizontal="right" indent="1"/>
    </xf>
    <xf numFmtId="8" fontId="6" fillId="0" borderId="32" xfId="0" applyNumberFormat="1" applyFont="1" applyBorder="1" applyAlignment="1">
      <alignment horizontal="center"/>
    </xf>
    <xf numFmtId="8" fontId="6" fillId="0" borderId="2" xfId="0" applyNumberFormat="1" applyFont="1" applyBorder="1"/>
    <xf numFmtId="4" fontId="6" fillId="0" borderId="18" xfId="0" applyNumberFormat="1" applyFont="1" applyBorder="1" applyAlignment="1">
      <alignment horizontal="right"/>
    </xf>
    <xf numFmtId="4" fontId="6" fillId="0" borderId="29" xfId="0" applyNumberFormat="1" applyFont="1" applyBorder="1" applyAlignment="1">
      <alignment horizontal="right"/>
    </xf>
    <xf numFmtId="4" fontId="6" fillId="0" borderId="32" xfId="0" applyNumberFormat="1" applyFont="1" applyBorder="1"/>
    <xf numFmtId="8" fontId="6" fillId="0" borderId="0" xfId="0" applyNumberFormat="1" applyFont="1"/>
    <xf numFmtId="4" fontId="6" fillId="0" borderId="31" xfId="0" applyNumberFormat="1" applyFont="1" applyBorder="1"/>
    <xf numFmtId="8" fontId="6" fillId="0" borderId="32" xfId="0" applyNumberFormat="1" applyFont="1" applyBorder="1"/>
    <xf numFmtId="4" fontId="0" fillId="0" borderId="7" xfId="0" applyNumberFormat="1" applyBorder="1"/>
    <xf numFmtId="4" fontId="0" fillId="0" borderId="37" xfId="0" applyNumberFormat="1" applyBorder="1"/>
    <xf numFmtId="0" fontId="6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right" indent="1"/>
    </xf>
    <xf numFmtId="8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/>
    <xf numFmtId="4" fontId="6" fillId="0" borderId="9" xfId="0" applyNumberFormat="1" applyFont="1" applyBorder="1"/>
    <xf numFmtId="8" fontId="6" fillId="0" borderId="3" xfId="0" applyNumberFormat="1" applyFont="1" applyBorder="1"/>
    <xf numFmtId="8" fontId="6" fillId="0" borderId="6" xfId="0" applyNumberFormat="1" applyFont="1" applyBorder="1"/>
    <xf numFmtId="4" fontId="0" fillId="0" borderId="0" xfId="0" applyNumberFormat="1" applyAlignment="1">
      <alignment horizontal="center"/>
    </xf>
    <xf numFmtId="4" fontId="17" fillId="0" borderId="0" xfId="0" applyNumberFormat="1" applyFont="1" applyAlignment="1">
      <alignment wrapText="1"/>
    </xf>
    <xf numFmtId="0" fontId="0" fillId="0" borderId="0" xfId="0" applyAlignment="1">
      <alignment horizontal="left" indent="1"/>
    </xf>
    <xf numFmtId="4" fontId="0" fillId="0" borderId="0" xfId="0" applyNumberFormat="1" applyAlignment="1">
      <alignment horizontal="right"/>
    </xf>
    <xf numFmtId="0" fontId="0" fillId="0" borderId="36" xfId="0" applyBorder="1"/>
    <xf numFmtId="4" fontId="0" fillId="0" borderId="12" xfId="0" applyNumberFormat="1" applyBorder="1"/>
    <xf numFmtId="8" fontId="0" fillId="0" borderId="45" xfId="0" applyNumberFormat="1" applyBorder="1"/>
    <xf numFmtId="7" fontId="0" fillId="0" borderId="0" xfId="0" applyNumberFormat="1"/>
    <xf numFmtId="0" fontId="0" fillId="0" borderId="35" xfId="0" applyBorder="1"/>
    <xf numFmtId="4" fontId="0" fillId="0" borderId="18" xfId="0" applyNumberFormat="1" applyBorder="1"/>
    <xf numFmtId="4" fontId="10" fillId="2" borderId="0" xfId="0" applyNumberFormat="1" applyFont="1" applyFill="1"/>
    <xf numFmtId="0" fontId="42" fillId="0" borderId="0" xfId="0" applyFont="1" applyAlignment="1">
      <alignment horizontal="center"/>
    </xf>
    <xf numFmtId="0" fontId="0" fillId="0" borderId="0" xfId="0"/>
    <xf numFmtId="0" fontId="43" fillId="0" borderId="0" xfId="0" applyFont="1" applyAlignment="1">
      <alignment horizontal="center"/>
    </xf>
    <xf numFmtId="0" fontId="44" fillId="0" borderId="34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7" fontId="13" fillId="0" borderId="0" xfId="0" applyNumberFormat="1" applyFont="1" applyAlignment="1">
      <alignment horizontal="center"/>
    </xf>
    <xf numFmtId="0" fontId="16" fillId="0" borderId="25" xfId="2" applyFont="1" applyBorder="1" applyAlignment="1">
      <alignment horizontal="center"/>
    </xf>
    <xf numFmtId="0" fontId="16" fillId="0" borderId="38" xfId="2" applyFont="1" applyBorder="1" applyAlignment="1">
      <alignment horizontal="center"/>
    </xf>
    <xf numFmtId="0" fontId="16" fillId="0" borderId="14" xfId="2" applyFont="1" applyBorder="1" applyAlignment="1">
      <alignment horizontal="center"/>
    </xf>
    <xf numFmtId="0" fontId="16" fillId="0" borderId="33" xfId="2" applyFont="1" applyBorder="1" applyAlignment="1">
      <alignment horizontal="center"/>
    </xf>
    <xf numFmtId="4" fontId="14" fillId="4" borderId="41" xfId="2" applyNumberFormat="1" applyFont="1" applyFill="1" applyBorder="1" applyAlignment="1">
      <alignment horizontal="center" wrapText="1"/>
    </xf>
    <xf numFmtId="0" fontId="0" fillId="4" borderId="31" xfId="0" applyFill="1" applyBorder="1" applyAlignment="1">
      <alignment horizontal="center"/>
    </xf>
    <xf numFmtId="4" fontId="14" fillId="0" borderId="41" xfId="2" applyNumberFormat="1" applyFont="1" applyBorder="1" applyAlignment="1">
      <alignment horizontal="center"/>
    </xf>
    <xf numFmtId="0" fontId="0" fillId="0" borderId="31" xfId="0" applyBorder="1"/>
    <xf numFmtId="4" fontId="14" fillId="3" borderId="36" xfId="2" applyNumberFormat="1" applyFont="1" applyFill="1" applyBorder="1" applyAlignment="1">
      <alignment horizontal="center"/>
    </xf>
    <xf numFmtId="0" fontId="0" fillId="3" borderId="12" xfId="0" applyFill="1" applyBorder="1"/>
    <xf numFmtId="0" fontId="5" fillId="0" borderId="4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5" fillId="0" borderId="0" xfId="0" applyNumberFormat="1" applyFont="1" applyAlignment="1">
      <alignment horizontal="center" wrapText="1"/>
    </xf>
    <xf numFmtId="4" fontId="10" fillId="0" borderId="0" xfId="0" applyNumberFormat="1" applyFont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2" fillId="0" borderId="0" xfId="0" applyFont="1" applyAlignment="1">
      <alignment horizontal="center"/>
    </xf>
    <xf numFmtId="4" fontId="5" fillId="0" borderId="41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4" fontId="10" fillId="0" borderId="31" xfId="0" applyNumberFormat="1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38" xfId="0" applyFont="1" applyBorder="1"/>
    <xf numFmtId="0" fontId="10" fillId="0" borderId="33" xfId="0" applyFont="1" applyBorder="1"/>
  </cellXfs>
  <cellStyles count="6">
    <cellStyle name="Currency" xfId="4" builtinId="4"/>
    <cellStyle name="Currency 2" xfId="1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jorie Case" id="{7FC54A06-6147-410C-ADF0-0C326E4171E0}" userId="eb79fc0dc0c04cb0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U55" dT="2025-01-06T18:11:30.93" personId="{7FC54A06-6147-410C-ADF0-0C326E4171E0}" id="{4F5A106E-B23C-4C76-B262-C3A7BA2863FB}">
    <text>Pd in 2024 for 2025</text>
  </threadedComment>
</ThreadedComment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8E543-6117-4C93-917B-5C205E92CBA9}">
  <dimension ref="A1:M159"/>
  <sheetViews>
    <sheetView tabSelected="1" workbookViewId="0"/>
  </sheetViews>
  <sheetFormatPr defaultColWidth="8.85546875" defaultRowHeight="15" x14ac:dyDescent="0.25"/>
  <sheetData>
    <row r="1" spans="1:13" x14ac:dyDescent="0.25">
      <c r="A1" t="s">
        <v>63</v>
      </c>
    </row>
    <row r="2" spans="1:13" x14ac:dyDescent="0.25">
      <c r="A2" t="s">
        <v>623</v>
      </c>
    </row>
    <row r="4" spans="1:13" x14ac:dyDescent="0.25">
      <c r="A4" s="84" t="s">
        <v>624</v>
      </c>
    </row>
    <row r="6" spans="1:13" x14ac:dyDescent="0.25">
      <c r="A6" s="84">
        <v>1</v>
      </c>
      <c r="B6" t="s">
        <v>415</v>
      </c>
    </row>
    <row r="7" spans="1:13" x14ac:dyDescent="0.25">
      <c r="A7" s="123">
        <v>2</v>
      </c>
      <c r="B7" s="122" t="s">
        <v>625</v>
      </c>
      <c r="C7" s="122"/>
      <c r="D7" s="122"/>
      <c r="E7" s="122"/>
      <c r="F7" s="122"/>
      <c r="G7" s="122"/>
      <c r="H7" s="122"/>
      <c r="I7" s="122" t="s">
        <v>670</v>
      </c>
      <c r="J7" s="122"/>
      <c r="K7" s="122"/>
      <c r="L7" s="122"/>
      <c r="M7" s="122"/>
    </row>
    <row r="8" spans="1:13" x14ac:dyDescent="0.25">
      <c r="A8" s="123" t="s">
        <v>672</v>
      </c>
      <c r="B8" s="122" t="s">
        <v>671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25">
      <c r="A9" s="84">
        <v>3</v>
      </c>
      <c r="B9" t="s">
        <v>626</v>
      </c>
      <c r="F9" t="s">
        <v>627</v>
      </c>
    </row>
    <row r="10" spans="1:13" x14ac:dyDescent="0.25">
      <c r="A10" s="84">
        <v>4</v>
      </c>
      <c r="B10" t="s">
        <v>628</v>
      </c>
      <c r="E10" t="s">
        <v>629</v>
      </c>
      <c r="F10" t="s">
        <v>627</v>
      </c>
    </row>
    <row r="11" spans="1:13" x14ac:dyDescent="0.25">
      <c r="A11" s="84">
        <v>5</v>
      </c>
      <c r="B11" t="s">
        <v>630</v>
      </c>
      <c r="D11" t="s">
        <v>631</v>
      </c>
    </row>
    <row r="12" spans="1:13" x14ac:dyDescent="0.25">
      <c r="A12" s="84"/>
    </row>
    <row r="13" spans="1:13" x14ac:dyDescent="0.25">
      <c r="A13" s="84"/>
      <c r="E13" t="s">
        <v>4</v>
      </c>
    </row>
    <row r="14" spans="1:13" x14ac:dyDescent="0.25">
      <c r="A14" s="84"/>
      <c r="E14" t="s">
        <v>5</v>
      </c>
    </row>
    <row r="15" spans="1:13" x14ac:dyDescent="0.25">
      <c r="A15" s="84"/>
      <c r="E15" t="s">
        <v>6</v>
      </c>
    </row>
    <row r="16" spans="1:13" x14ac:dyDescent="0.25">
      <c r="A16" s="84"/>
      <c r="E16" t="s">
        <v>522</v>
      </c>
    </row>
    <row r="17" spans="1:4" x14ac:dyDescent="0.25">
      <c r="A17" s="84"/>
    </row>
    <row r="18" spans="1:4" x14ac:dyDescent="0.25">
      <c r="A18" s="84" t="s">
        <v>632</v>
      </c>
      <c r="B18" t="s">
        <v>633</v>
      </c>
    </row>
    <row r="19" spans="1:4" x14ac:dyDescent="0.25">
      <c r="A19" s="84"/>
    </row>
    <row r="20" spans="1:4" x14ac:dyDescent="0.25">
      <c r="A20" s="84">
        <v>7</v>
      </c>
      <c r="B20" t="s">
        <v>634</v>
      </c>
      <c r="D20" t="s">
        <v>635</v>
      </c>
    </row>
    <row r="21" spans="1:4" x14ac:dyDescent="0.25">
      <c r="A21" s="84"/>
    </row>
    <row r="22" spans="1:4" x14ac:dyDescent="0.25">
      <c r="A22" s="84">
        <v>8</v>
      </c>
      <c r="B22" t="s">
        <v>636</v>
      </c>
      <c r="D22" t="s">
        <v>637</v>
      </c>
    </row>
    <row r="23" spans="1:4" x14ac:dyDescent="0.25">
      <c r="A23" s="84">
        <v>8.5</v>
      </c>
      <c r="B23" t="s">
        <v>655</v>
      </c>
    </row>
    <row r="24" spans="1:4" x14ac:dyDescent="0.25">
      <c r="A24" s="84"/>
    </row>
    <row r="25" spans="1:4" x14ac:dyDescent="0.25">
      <c r="A25" s="84">
        <v>9</v>
      </c>
      <c r="B25" t="s">
        <v>638</v>
      </c>
      <c r="D25" t="s">
        <v>639</v>
      </c>
    </row>
    <row r="26" spans="1:4" x14ac:dyDescent="0.25">
      <c r="A26" s="84"/>
    </row>
    <row r="27" spans="1:4" x14ac:dyDescent="0.25">
      <c r="A27" s="84">
        <v>10</v>
      </c>
      <c r="B27" t="s">
        <v>640</v>
      </c>
      <c r="D27" t="s">
        <v>641</v>
      </c>
    </row>
    <row r="28" spans="1:4" x14ac:dyDescent="0.25">
      <c r="A28" s="84"/>
    </row>
    <row r="29" spans="1:4" x14ac:dyDescent="0.25">
      <c r="A29" s="84">
        <v>11</v>
      </c>
      <c r="B29" t="s">
        <v>522</v>
      </c>
      <c r="D29" t="s">
        <v>641</v>
      </c>
    </row>
    <row r="30" spans="1:4" x14ac:dyDescent="0.25">
      <c r="A30" s="84"/>
    </row>
    <row r="31" spans="1:4" x14ac:dyDescent="0.25">
      <c r="A31" s="84">
        <v>12</v>
      </c>
      <c r="B31" t="s">
        <v>5</v>
      </c>
      <c r="D31" t="s">
        <v>641</v>
      </c>
    </row>
    <row r="32" spans="1:4" x14ac:dyDescent="0.25">
      <c r="A32" s="84"/>
    </row>
    <row r="33" spans="1:4" x14ac:dyDescent="0.25">
      <c r="A33" s="84">
        <v>13</v>
      </c>
      <c r="B33" t="s">
        <v>4</v>
      </c>
      <c r="D33" t="s">
        <v>641</v>
      </c>
    </row>
    <row r="34" spans="1:4" x14ac:dyDescent="0.25">
      <c r="A34" s="84"/>
    </row>
    <row r="35" spans="1:4" x14ac:dyDescent="0.25">
      <c r="A35" s="84"/>
    </row>
    <row r="36" spans="1:4" x14ac:dyDescent="0.25">
      <c r="A36" s="84"/>
    </row>
    <row r="37" spans="1:4" x14ac:dyDescent="0.25">
      <c r="A37" s="84"/>
    </row>
    <row r="38" spans="1:4" x14ac:dyDescent="0.25">
      <c r="A38" s="84"/>
    </row>
    <row r="39" spans="1:4" x14ac:dyDescent="0.25">
      <c r="A39" s="84"/>
    </row>
    <row r="40" spans="1:4" x14ac:dyDescent="0.25">
      <c r="A40" s="84"/>
    </row>
    <row r="41" spans="1:4" x14ac:dyDescent="0.25">
      <c r="A41" s="84"/>
    </row>
    <row r="42" spans="1:4" x14ac:dyDescent="0.25">
      <c r="A42" s="84"/>
    </row>
    <row r="43" spans="1:4" x14ac:dyDescent="0.25">
      <c r="A43" s="84"/>
    </row>
    <row r="44" spans="1:4" x14ac:dyDescent="0.25">
      <c r="A44" s="84"/>
    </row>
    <row r="45" spans="1:4" x14ac:dyDescent="0.25">
      <c r="A45" s="84"/>
    </row>
    <row r="46" spans="1:4" x14ac:dyDescent="0.25">
      <c r="A46" s="84"/>
    </row>
    <row r="47" spans="1:4" x14ac:dyDescent="0.25">
      <c r="A47" s="84"/>
    </row>
    <row r="48" spans="1:4" x14ac:dyDescent="0.25">
      <c r="A48" s="84"/>
    </row>
    <row r="49" spans="1:1" x14ac:dyDescent="0.25">
      <c r="A49" s="84"/>
    </row>
    <row r="50" spans="1:1" x14ac:dyDescent="0.25">
      <c r="A50" s="84"/>
    </row>
    <row r="51" spans="1:1" x14ac:dyDescent="0.25">
      <c r="A51" s="84"/>
    </row>
    <row r="52" spans="1:1" x14ac:dyDescent="0.25">
      <c r="A52" s="84"/>
    </row>
    <row r="53" spans="1:1" x14ac:dyDescent="0.25">
      <c r="A53" s="84"/>
    </row>
    <row r="54" spans="1:1" x14ac:dyDescent="0.25">
      <c r="A54" s="84"/>
    </row>
    <row r="55" spans="1:1" x14ac:dyDescent="0.25">
      <c r="A55" s="84"/>
    </row>
    <row r="56" spans="1:1" x14ac:dyDescent="0.25">
      <c r="A56" s="84"/>
    </row>
    <row r="57" spans="1:1" x14ac:dyDescent="0.25">
      <c r="A57" s="84"/>
    </row>
    <row r="58" spans="1:1" x14ac:dyDescent="0.25">
      <c r="A58" s="84"/>
    </row>
    <row r="59" spans="1:1" x14ac:dyDescent="0.25">
      <c r="A59" s="84"/>
    </row>
    <row r="60" spans="1:1" x14ac:dyDescent="0.25">
      <c r="A60" s="84"/>
    </row>
    <row r="61" spans="1:1" x14ac:dyDescent="0.25">
      <c r="A61" s="84"/>
    </row>
    <row r="62" spans="1:1" x14ac:dyDescent="0.25">
      <c r="A62" s="84"/>
    </row>
    <row r="63" spans="1:1" x14ac:dyDescent="0.25">
      <c r="A63" s="84"/>
    </row>
    <row r="64" spans="1:1" x14ac:dyDescent="0.25">
      <c r="A64" s="84"/>
    </row>
    <row r="65" spans="1:1" x14ac:dyDescent="0.25">
      <c r="A65" s="84"/>
    </row>
    <row r="66" spans="1:1" x14ac:dyDescent="0.25">
      <c r="A66" s="84"/>
    </row>
    <row r="67" spans="1:1" x14ac:dyDescent="0.25">
      <c r="A67" s="84"/>
    </row>
    <row r="68" spans="1:1" x14ac:dyDescent="0.25">
      <c r="A68" s="84"/>
    </row>
    <row r="69" spans="1:1" x14ac:dyDescent="0.25">
      <c r="A69" s="84"/>
    </row>
    <row r="70" spans="1:1" x14ac:dyDescent="0.25">
      <c r="A70" s="84"/>
    </row>
    <row r="71" spans="1:1" x14ac:dyDescent="0.25">
      <c r="A71" s="84"/>
    </row>
    <row r="72" spans="1:1" x14ac:dyDescent="0.25">
      <c r="A72" s="84"/>
    </row>
    <row r="73" spans="1:1" x14ac:dyDescent="0.25">
      <c r="A73" s="84"/>
    </row>
    <row r="74" spans="1:1" x14ac:dyDescent="0.25">
      <c r="A74" s="84"/>
    </row>
    <row r="75" spans="1:1" x14ac:dyDescent="0.25">
      <c r="A75" s="84"/>
    </row>
    <row r="76" spans="1:1" x14ac:dyDescent="0.25">
      <c r="A76" s="84"/>
    </row>
    <row r="77" spans="1:1" x14ac:dyDescent="0.25">
      <c r="A77" s="84"/>
    </row>
    <row r="78" spans="1:1" x14ac:dyDescent="0.25">
      <c r="A78" s="84"/>
    </row>
    <row r="79" spans="1:1" x14ac:dyDescent="0.25">
      <c r="A79" s="84"/>
    </row>
    <row r="80" spans="1:1" x14ac:dyDescent="0.25">
      <c r="A80" s="84"/>
    </row>
    <row r="81" spans="1:1" x14ac:dyDescent="0.25">
      <c r="A81" s="84"/>
    </row>
    <row r="82" spans="1:1" x14ac:dyDescent="0.25">
      <c r="A82" s="84"/>
    </row>
    <row r="83" spans="1:1" x14ac:dyDescent="0.25">
      <c r="A83" s="84"/>
    </row>
    <row r="84" spans="1:1" x14ac:dyDescent="0.25">
      <c r="A84" s="84"/>
    </row>
    <row r="85" spans="1:1" x14ac:dyDescent="0.25">
      <c r="A85" s="84"/>
    </row>
    <row r="86" spans="1:1" x14ac:dyDescent="0.25">
      <c r="A86" s="84"/>
    </row>
    <row r="87" spans="1:1" x14ac:dyDescent="0.25">
      <c r="A87" s="84"/>
    </row>
    <row r="88" spans="1:1" x14ac:dyDescent="0.25">
      <c r="A88" s="84"/>
    </row>
    <row r="89" spans="1:1" x14ac:dyDescent="0.25">
      <c r="A89" s="84"/>
    </row>
    <row r="90" spans="1:1" x14ac:dyDescent="0.25">
      <c r="A90" s="84"/>
    </row>
    <row r="91" spans="1:1" x14ac:dyDescent="0.25">
      <c r="A91" s="84"/>
    </row>
    <row r="92" spans="1:1" x14ac:dyDescent="0.25">
      <c r="A92" s="84"/>
    </row>
    <row r="93" spans="1:1" x14ac:dyDescent="0.25">
      <c r="A93" s="84"/>
    </row>
    <row r="94" spans="1:1" x14ac:dyDescent="0.25">
      <c r="A94" s="84"/>
    </row>
    <row r="95" spans="1:1" x14ac:dyDescent="0.25">
      <c r="A95" s="84"/>
    </row>
    <row r="96" spans="1:1" x14ac:dyDescent="0.25">
      <c r="A96" s="84"/>
    </row>
    <row r="97" spans="1:1" x14ac:dyDescent="0.25">
      <c r="A97" s="84"/>
    </row>
    <row r="98" spans="1:1" x14ac:dyDescent="0.25">
      <c r="A98" s="84"/>
    </row>
    <row r="99" spans="1:1" x14ac:dyDescent="0.25">
      <c r="A99" s="84"/>
    </row>
    <row r="100" spans="1:1" x14ac:dyDescent="0.25">
      <c r="A100" s="84"/>
    </row>
    <row r="101" spans="1:1" x14ac:dyDescent="0.25">
      <c r="A101" s="84"/>
    </row>
    <row r="102" spans="1:1" x14ac:dyDescent="0.25">
      <c r="A102" s="84"/>
    </row>
    <row r="103" spans="1:1" x14ac:dyDescent="0.25">
      <c r="A103" s="84"/>
    </row>
    <row r="104" spans="1:1" x14ac:dyDescent="0.25">
      <c r="A104" s="84"/>
    </row>
    <row r="105" spans="1:1" x14ac:dyDescent="0.25">
      <c r="A105" s="84"/>
    </row>
    <row r="106" spans="1:1" x14ac:dyDescent="0.25">
      <c r="A106" s="84"/>
    </row>
    <row r="107" spans="1:1" x14ac:dyDescent="0.25">
      <c r="A107" s="84"/>
    </row>
    <row r="108" spans="1:1" x14ac:dyDescent="0.25">
      <c r="A108" s="84"/>
    </row>
    <row r="109" spans="1:1" x14ac:dyDescent="0.25">
      <c r="A109" s="84"/>
    </row>
    <row r="110" spans="1:1" x14ac:dyDescent="0.25">
      <c r="A110" s="84"/>
    </row>
    <row r="111" spans="1:1" x14ac:dyDescent="0.25">
      <c r="A111" s="84"/>
    </row>
    <row r="112" spans="1:1" x14ac:dyDescent="0.25">
      <c r="A112" s="84"/>
    </row>
    <row r="113" spans="1:1" x14ac:dyDescent="0.25">
      <c r="A113" s="84"/>
    </row>
    <row r="114" spans="1:1" x14ac:dyDescent="0.25">
      <c r="A114" s="84"/>
    </row>
    <row r="115" spans="1:1" x14ac:dyDescent="0.25">
      <c r="A115" s="84"/>
    </row>
    <row r="116" spans="1:1" x14ac:dyDescent="0.25">
      <c r="A116" s="84"/>
    </row>
    <row r="117" spans="1:1" x14ac:dyDescent="0.25">
      <c r="A117" s="84"/>
    </row>
    <row r="118" spans="1:1" x14ac:dyDescent="0.25">
      <c r="A118" s="84"/>
    </row>
    <row r="119" spans="1:1" x14ac:dyDescent="0.25">
      <c r="A119" s="84"/>
    </row>
    <row r="120" spans="1:1" x14ac:dyDescent="0.25">
      <c r="A120" s="84"/>
    </row>
    <row r="121" spans="1:1" x14ac:dyDescent="0.25">
      <c r="A121" s="84"/>
    </row>
    <row r="122" spans="1:1" x14ac:dyDescent="0.25">
      <c r="A122" s="84"/>
    </row>
    <row r="123" spans="1:1" x14ac:dyDescent="0.25">
      <c r="A123" s="84"/>
    </row>
    <row r="124" spans="1:1" x14ac:dyDescent="0.25">
      <c r="A124" s="84"/>
    </row>
    <row r="125" spans="1:1" x14ac:dyDescent="0.25">
      <c r="A125" s="84"/>
    </row>
    <row r="126" spans="1:1" x14ac:dyDescent="0.25">
      <c r="A126" s="84"/>
    </row>
    <row r="127" spans="1:1" x14ac:dyDescent="0.25">
      <c r="A127" s="84"/>
    </row>
    <row r="128" spans="1:1" x14ac:dyDescent="0.25">
      <c r="A128" s="84"/>
    </row>
    <row r="129" spans="1:1" x14ac:dyDescent="0.25">
      <c r="A129" s="84"/>
    </row>
    <row r="130" spans="1:1" x14ac:dyDescent="0.25">
      <c r="A130" s="84"/>
    </row>
    <row r="131" spans="1:1" x14ac:dyDescent="0.25">
      <c r="A131" s="84"/>
    </row>
    <row r="132" spans="1:1" x14ac:dyDescent="0.25">
      <c r="A132" s="84"/>
    </row>
    <row r="133" spans="1:1" x14ac:dyDescent="0.25">
      <c r="A133" s="84"/>
    </row>
    <row r="134" spans="1:1" x14ac:dyDescent="0.25">
      <c r="A134" s="84"/>
    </row>
    <row r="135" spans="1:1" x14ac:dyDescent="0.25">
      <c r="A135" s="84"/>
    </row>
    <row r="136" spans="1:1" x14ac:dyDescent="0.25">
      <c r="A136" s="84"/>
    </row>
    <row r="137" spans="1:1" x14ac:dyDescent="0.25">
      <c r="A137" s="84"/>
    </row>
    <row r="138" spans="1:1" x14ac:dyDescent="0.25">
      <c r="A138" s="84"/>
    </row>
    <row r="139" spans="1:1" x14ac:dyDescent="0.25">
      <c r="A139" s="84"/>
    </row>
    <row r="140" spans="1:1" x14ac:dyDescent="0.25">
      <c r="A140" s="84"/>
    </row>
    <row r="141" spans="1:1" x14ac:dyDescent="0.25">
      <c r="A141" s="84"/>
    </row>
    <row r="142" spans="1:1" x14ac:dyDescent="0.25">
      <c r="A142" s="84"/>
    </row>
    <row r="143" spans="1:1" x14ac:dyDescent="0.25">
      <c r="A143" s="84"/>
    </row>
    <row r="144" spans="1:1" x14ac:dyDescent="0.25">
      <c r="A144" s="84"/>
    </row>
    <row r="145" spans="1:1" x14ac:dyDescent="0.25">
      <c r="A145" s="84"/>
    </row>
    <row r="146" spans="1:1" x14ac:dyDescent="0.25">
      <c r="A146" s="84"/>
    </row>
    <row r="147" spans="1:1" x14ac:dyDescent="0.25">
      <c r="A147" s="84"/>
    </row>
    <row r="148" spans="1:1" x14ac:dyDescent="0.25">
      <c r="A148" s="84"/>
    </row>
    <row r="149" spans="1:1" x14ac:dyDescent="0.25">
      <c r="A149" s="84"/>
    </row>
    <row r="150" spans="1:1" x14ac:dyDescent="0.25">
      <c r="A150" s="84"/>
    </row>
    <row r="151" spans="1:1" x14ac:dyDescent="0.25">
      <c r="A151" s="84"/>
    </row>
    <row r="152" spans="1:1" x14ac:dyDescent="0.25">
      <c r="A152" s="84"/>
    </row>
    <row r="153" spans="1:1" x14ac:dyDescent="0.25">
      <c r="A153" s="84"/>
    </row>
    <row r="154" spans="1:1" x14ac:dyDescent="0.25">
      <c r="A154" s="84"/>
    </row>
    <row r="155" spans="1:1" x14ac:dyDescent="0.25">
      <c r="A155" s="84"/>
    </row>
    <row r="156" spans="1:1" x14ac:dyDescent="0.25">
      <c r="A156" s="84"/>
    </row>
    <row r="157" spans="1:1" x14ac:dyDescent="0.25">
      <c r="A157" s="84"/>
    </row>
    <row r="158" spans="1:1" x14ac:dyDescent="0.25">
      <c r="A158" s="84"/>
    </row>
    <row r="159" spans="1:1" x14ac:dyDescent="0.25">
      <c r="A159" s="8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O91"/>
  <sheetViews>
    <sheetView zoomScaleNormal="100" workbookViewId="0">
      <pane ySplit="5" topLeftCell="A64" activePane="bottomLeft" state="frozen"/>
      <selection activeCell="B1" sqref="B1"/>
      <selection pane="bottomLeft"/>
    </sheetView>
  </sheetViews>
  <sheetFormatPr defaultColWidth="16.7109375" defaultRowHeight="15" x14ac:dyDescent="0.25"/>
  <cols>
    <col min="1" max="1" width="16.7109375" customWidth="1"/>
    <col min="2" max="2" width="41.85546875" style="259" customWidth="1"/>
    <col min="3" max="3" width="15.42578125" customWidth="1"/>
    <col min="4" max="4" width="16.7109375" customWidth="1"/>
    <col min="5" max="5" width="15.42578125" customWidth="1"/>
    <col min="6" max="6" width="12.85546875" style="84" customWidth="1"/>
    <col min="7" max="7" width="13.140625" customWidth="1"/>
    <col min="8" max="8" width="14.140625" style="260" customWidth="1"/>
    <col min="9" max="9" width="13.7109375" style="260" customWidth="1"/>
    <col min="10" max="10" width="11" style="1" customWidth="1"/>
    <col min="11" max="11" width="3.7109375" customWidth="1"/>
    <col min="12" max="12" width="22.42578125" customWidth="1"/>
    <col min="13" max="13" width="14.42578125" customWidth="1"/>
    <col min="14" max="14" width="15.28515625" customWidth="1"/>
    <col min="15" max="15" width="4.42578125" customWidth="1"/>
    <col min="16" max="16" width="18.7109375" customWidth="1"/>
    <col min="17" max="18" width="19.42578125" customWidth="1"/>
    <col min="19" max="19" width="24.7109375" customWidth="1"/>
    <col min="20" max="20" width="25.42578125" customWidth="1"/>
    <col min="21" max="21" width="12.42578125" customWidth="1"/>
    <col min="22" max="22" width="14" customWidth="1"/>
    <col min="23" max="23" width="15.42578125" customWidth="1"/>
    <col min="24" max="24" width="6.140625" customWidth="1"/>
    <col min="25" max="25" width="12.42578125" customWidth="1"/>
    <col min="26" max="26" width="15.140625" style="154" customWidth="1"/>
    <col min="27" max="30" width="16.7109375" customWidth="1"/>
  </cols>
  <sheetData>
    <row r="1" spans="1:249" x14ac:dyDescent="0.25">
      <c r="A1" s="142"/>
      <c r="B1" s="295" t="s">
        <v>681</v>
      </c>
      <c r="C1" s="295"/>
      <c r="D1" s="143"/>
      <c r="E1" s="143"/>
      <c r="F1" s="144"/>
      <c r="G1" s="143"/>
      <c r="H1" s="145"/>
      <c r="I1" s="145"/>
      <c r="J1" s="146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7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/>
      <c r="DL1" s="142"/>
      <c r="DM1" s="142"/>
      <c r="DN1" s="142"/>
      <c r="DO1" s="142"/>
      <c r="DP1" s="142"/>
      <c r="DQ1" s="142"/>
      <c r="DR1" s="142"/>
      <c r="DS1" s="142"/>
      <c r="DT1" s="142"/>
      <c r="DU1" s="142"/>
      <c r="DV1" s="142"/>
      <c r="DW1" s="142"/>
      <c r="DX1" s="142"/>
      <c r="DY1" s="142"/>
      <c r="DZ1" s="142"/>
      <c r="EA1" s="142"/>
      <c r="EB1" s="142"/>
      <c r="EC1" s="142"/>
      <c r="ED1" s="142"/>
      <c r="EE1" s="142"/>
      <c r="EF1" s="142"/>
      <c r="EG1" s="142"/>
      <c r="EH1" s="142"/>
      <c r="EI1" s="142"/>
      <c r="EJ1" s="142"/>
      <c r="EK1" s="142"/>
      <c r="EL1" s="142"/>
      <c r="EM1" s="142"/>
      <c r="EN1" s="142"/>
      <c r="EO1" s="142"/>
      <c r="EP1" s="142"/>
      <c r="EQ1" s="142"/>
      <c r="ER1" s="142"/>
      <c r="ES1" s="142"/>
      <c r="ET1" s="142"/>
      <c r="EU1" s="142"/>
      <c r="EV1" s="142"/>
      <c r="EW1" s="142"/>
      <c r="EX1" s="142"/>
      <c r="EY1" s="142"/>
      <c r="EZ1" s="142"/>
      <c r="FA1" s="142"/>
      <c r="FB1" s="142"/>
      <c r="FC1" s="142"/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/>
      <c r="HR1" s="142"/>
      <c r="HS1" s="142"/>
      <c r="HT1" s="142"/>
      <c r="HU1" s="142"/>
      <c r="HV1" s="142"/>
      <c r="HW1" s="142"/>
      <c r="HX1" s="142"/>
      <c r="HY1" s="142"/>
      <c r="HZ1" s="142"/>
      <c r="IA1" s="142"/>
      <c r="IB1" s="142"/>
      <c r="IC1" s="142"/>
      <c r="ID1" s="142"/>
      <c r="IE1" s="142"/>
      <c r="IF1" s="142"/>
      <c r="IG1" s="142"/>
      <c r="IH1" s="142"/>
      <c r="II1" s="142"/>
      <c r="IJ1" s="142"/>
      <c r="IK1" s="142"/>
      <c r="IL1" s="142"/>
      <c r="IM1" s="142"/>
      <c r="IN1" s="142"/>
      <c r="IO1" s="142"/>
    </row>
    <row r="2" spans="1:249" ht="15.75" thickBot="1" x14ac:dyDescent="0.3">
      <c r="A2" s="108"/>
      <c r="B2" s="148"/>
      <c r="C2" s="108"/>
      <c r="E2" s="149"/>
      <c r="F2" s="150"/>
      <c r="G2" s="151"/>
      <c r="H2" s="152"/>
      <c r="I2" s="152"/>
      <c r="J2" s="153"/>
    </row>
    <row r="3" spans="1:249" ht="15.75" thickBot="1" x14ac:dyDescent="0.3">
      <c r="A3" s="155"/>
      <c r="B3" s="156"/>
      <c r="C3" s="157"/>
      <c r="D3" s="158"/>
      <c r="E3" s="159"/>
      <c r="F3" s="160"/>
      <c r="G3" s="161"/>
      <c r="H3" s="296" t="s">
        <v>12</v>
      </c>
      <c r="I3" s="297"/>
      <c r="J3" s="298"/>
      <c r="K3" s="162"/>
      <c r="L3" s="286" t="s">
        <v>13</v>
      </c>
      <c r="M3" s="287"/>
      <c r="N3" s="288"/>
      <c r="P3" s="299" t="s">
        <v>674</v>
      </c>
      <c r="Q3" s="300"/>
      <c r="R3" s="300"/>
      <c r="S3" s="301"/>
      <c r="T3" s="289" t="s">
        <v>673</v>
      </c>
      <c r="U3" s="289"/>
      <c r="V3" s="290"/>
      <c r="W3" s="163"/>
      <c r="Z3" s="164" t="s">
        <v>14</v>
      </c>
    </row>
    <row r="4" spans="1:249" ht="27" customHeight="1" x14ac:dyDescent="0.25">
      <c r="A4" s="165" t="s">
        <v>15</v>
      </c>
      <c r="B4" s="166" t="s">
        <v>16</v>
      </c>
      <c r="C4" s="165" t="s">
        <v>17</v>
      </c>
      <c r="D4" s="167"/>
      <c r="E4" s="165" t="s">
        <v>18</v>
      </c>
      <c r="F4" s="168" t="s">
        <v>678</v>
      </c>
      <c r="G4" s="160"/>
      <c r="H4" s="291" t="s">
        <v>19</v>
      </c>
      <c r="I4" s="169" t="s">
        <v>18</v>
      </c>
      <c r="J4" s="170"/>
      <c r="K4" s="171"/>
      <c r="L4" s="293" t="s">
        <v>19</v>
      </c>
      <c r="M4" s="172" t="s">
        <v>18</v>
      </c>
      <c r="N4" s="173"/>
      <c r="O4" s="174"/>
      <c r="P4" s="175" t="s">
        <v>19</v>
      </c>
      <c r="Q4" s="176" t="s">
        <v>676</v>
      </c>
      <c r="R4" s="176" t="s">
        <v>677</v>
      </c>
      <c r="S4" s="177" t="s">
        <v>675</v>
      </c>
      <c r="T4" s="176"/>
      <c r="U4" s="176"/>
      <c r="V4" s="176"/>
      <c r="W4" s="163"/>
      <c r="Z4" s="178"/>
    </row>
    <row r="5" spans="1:249" ht="15.75" thickBot="1" x14ac:dyDescent="0.3">
      <c r="A5" s="179"/>
      <c r="B5" s="180"/>
      <c r="C5" s="181">
        <v>44896</v>
      </c>
      <c r="D5" s="182" t="s">
        <v>19</v>
      </c>
      <c r="E5" s="183" t="s">
        <v>20</v>
      </c>
      <c r="F5" s="184" t="s">
        <v>679</v>
      </c>
      <c r="G5" s="185"/>
      <c r="H5" s="292"/>
      <c r="I5" s="186" t="s">
        <v>20</v>
      </c>
      <c r="J5" s="187"/>
      <c r="K5" s="84"/>
      <c r="L5" s="294"/>
      <c r="M5" s="188" t="s">
        <v>20</v>
      </c>
      <c r="N5" s="189"/>
      <c r="P5" s="163"/>
      <c r="Q5" s="163"/>
      <c r="R5" s="163"/>
      <c r="S5" s="190"/>
      <c r="T5" s="190"/>
      <c r="U5" s="190"/>
      <c r="V5" s="190"/>
      <c r="W5" s="190"/>
      <c r="Z5" s="191"/>
    </row>
    <row r="6" spans="1:249" ht="15.75" thickBot="1" x14ac:dyDescent="0.3">
      <c r="A6" s="192">
        <v>0</v>
      </c>
      <c r="B6" s="193" t="s">
        <v>21</v>
      </c>
      <c r="C6" s="194">
        <v>13</v>
      </c>
      <c r="D6" s="2">
        <v>649.11</v>
      </c>
      <c r="E6" s="195">
        <v>155</v>
      </c>
      <c r="F6" s="196"/>
      <c r="G6" s="197"/>
      <c r="H6" s="198"/>
      <c r="I6" s="199"/>
      <c r="J6" s="200"/>
      <c r="K6" s="201"/>
      <c r="L6" s="202">
        <f t="shared" ref="L6:L37" si="0">D6-H6</f>
        <v>649.11</v>
      </c>
      <c r="M6" s="202">
        <f t="shared" ref="M6:M37" si="1">E6-I6</f>
        <v>155</v>
      </c>
      <c r="N6" s="20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03">
        <f>L6+M6+S6</f>
        <v>804.11</v>
      </c>
      <c r="AC6" s="109"/>
      <c r="AD6" s="109"/>
      <c r="AE6" s="109"/>
      <c r="AF6" s="109"/>
    </row>
    <row r="7" spans="1:249" ht="15.75" thickBot="1" x14ac:dyDescent="0.3">
      <c r="A7" s="204">
        <v>5882</v>
      </c>
      <c r="B7" s="205" t="s">
        <v>22</v>
      </c>
      <c r="C7" s="194">
        <v>13</v>
      </c>
      <c r="D7" s="2">
        <v>767.13</v>
      </c>
      <c r="E7" s="206">
        <v>600</v>
      </c>
      <c r="F7" s="207"/>
      <c r="G7" s="208"/>
      <c r="H7" s="198"/>
      <c r="I7" s="209"/>
      <c r="J7" s="210"/>
      <c r="K7" s="201"/>
      <c r="L7" s="202">
        <f t="shared" si="0"/>
        <v>767.13</v>
      </c>
      <c r="M7" s="202">
        <f t="shared" si="1"/>
        <v>600</v>
      </c>
      <c r="N7" s="202"/>
      <c r="O7" s="1"/>
      <c r="P7" s="80"/>
      <c r="Q7" s="1"/>
      <c r="R7" s="1"/>
      <c r="S7" s="1">
        <f>SUM(P7:Q7)</f>
        <v>0</v>
      </c>
      <c r="T7" s="1"/>
      <c r="U7" s="1"/>
      <c r="V7" s="1"/>
      <c r="W7" s="1"/>
      <c r="X7" s="1"/>
      <c r="Y7" s="1"/>
      <c r="Z7" s="203">
        <f t="shared" ref="Z7:Z56" si="2">L7+M7+S7</f>
        <v>1367.13</v>
      </c>
      <c r="AC7" s="109"/>
      <c r="AD7" s="109"/>
      <c r="AE7" s="109"/>
      <c r="AF7" s="109"/>
    </row>
    <row r="8" spans="1:249" ht="15.75" thickBot="1" x14ac:dyDescent="0.3">
      <c r="A8" s="204"/>
      <c r="B8" s="205" t="s">
        <v>485</v>
      </c>
      <c r="C8" s="194">
        <v>42</v>
      </c>
      <c r="D8" s="2">
        <v>1888.32</v>
      </c>
      <c r="E8" s="206"/>
      <c r="F8" s="207"/>
      <c r="G8" s="208"/>
      <c r="H8" s="198"/>
      <c r="I8" s="209"/>
      <c r="J8" s="210"/>
      <c r="K8" s="201"/>
      <c r="L8" s="202">
        <f t="shared" si="0"/>
        <v>1888.32</v>
      </c>
      <c r="M8" s="202">
        <f t="shared" si="1"/>
        <v>0</v>
      </c>
      <c r="N8" s="202"/>
      <c r="O8" s="1"/>
      <c r="P8" s="1">
        <v>550</v>
      </c>
      <c r="Q8" s="1">
        <v>210</v>
      </c>
      <c r="R8" s="1"/>
      <c r="S8" s="1">
        <f>SUM(P8:Q8)</f>
        <v>760</v>
      </c>
      <c r="T8" s="1"/>
      <c r="U8" s="1"/>
      <c r="V8" s="1"/>
      <c r="W8" s="1"/>
      <c r="X8" s="1"/>
      <c r="Y8" s="1"/>
      <c r="Z8" s="203">
        <f t="shared" si="2"/>
        <v>2648.3199999999997</v>
      </c>
      <c r="AC8" s="84"/>
      <c r="AD8" s="90"/>
      <c r="AE8" s="91"/>
      <c r="AF8" s="92"/>
    </row>
    <row r="9" spans="1:249" ht="15.75" thickBot="1" x14ac:dyDescent="0.3">
      <c r="A9" s="204">
        <v>5884</v>
      </c>
      <c r="B9" s="205" t="s">
        <v>23</v>
      </c>
      <c r="C9" s="194">
        <v>0</v>
      </c>
      <c r="D9" s="2"/>
      <c r="E9" s="206"/>
      <c r="F9" s="207"/>
      <c r="G9" s="208"/>
      <c r="H9" s="211"/>
      <c r="I9" s="212"/>
      <c r="J9" s="210"/>
      <c r="K9" s="201"/>
      <c r="L9" s="202">
        <f t="shared" si="0"/>
        <v>0</v>
      </c>
      <c r="M9" s="202">
        <f t="shared" si="1"/>
        <v>0</v>
      </c>
      <c r="N9" s="20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03">
        <f t="shared" si="2"/>
        <v>0</v>
      </c>
      <c r="AC9" s="84"/>
      <c r="AD9" s="90"/>
      <c r="AE9" s="91"/>
      <c r="AF9" s="92"/>
    </row>
    <row r="10" spans="1:249" ht="15.75" thickBot="1" x14ac:dyDescent="0.3">
      <c r="A10" s="204">
        <v>5886</v>
      </c>
      <c r="B10" s="205" t="s">
        <v>24</v>
      </c>
      <c r="C10" s="194">
        <v>111</v>
      </c>
      <c r="D10" s="3">
        <v>6609.12</v>
      </c>
      <c r="E10" s="213">
        <v>8089</v>
      </c>
      <c r="F10" s="207"/>
      <c r="G10" s="208"/>
      <c r="H10" s="211">
        <v>1101.76</v>
      </c>
      <c r="I10" s="212">
        <v>1333.67</v>
      </c>
      <c r="J10" s="203"/>
      <c r="K10" s="201"/>
      <c r="L10" s="202">
        <f t="shared" si="0"/>
        <v>5507.36</v>
      </c>
      <c r="M10" s="202">
        <f t="shared" si="1"/>
        <v>6755.33</v>
      </c>
      <c r="N10" s="202"/>
      <c r="O10" s="1"/>
      <c r="P10" s="1">
        <v>50</v>
      </c>
      <c r="Q10" s="1">
        <v>1457</v>
      </c>
      <c r="R10" s="1"/>
      <c r="S10" s="1">
        <f t="shared" ref="S10:S17" si="3">SUM(P10:Q10)</f>
        <v>1507</v>
      </c>
      <c r="T10" s="1"/>
      <c r="U10" s="1"/>
      <c r="V10" s="1"/>
      <c r="W10" s="1"/>
      <c r="X10" s="1"/>
      <c r="Y10" s="1"/>
      <c r="Z10" s="203">
        <f t="shared" si="2"/>
        <v>13769.689999999999</v>
      </c>
      <c r="AC10" s="84"/>
      <c r="AD10" s="90"/>
      <c r="AE10" s="91"/>
      <c r="AF10" s="92"/>
    </row>
    <row r="11" spans="1:249" s="154" customFormat="1" ht="30.75" thickBot="1" x14ac:dyDescent="0.3">
      <c r="A11" s="214">
        <v>5493</v>
      </c>
      <c r="B11" s="215" t="s">
        <v>588</v>
      </c>
      <c r="C11" s="216">
        <v>40</v>
      </c>
      <c r="D11" s="5">
        <v>2360.4</v>
      </c>
      <c r="E11" s="213"/>
      <c r="F11" s="217"/>
      <c r="G11" s="218"/>
      <c r="H11" s="211"/>
      <c r="I11" s="212"/>
      <c r="J11" s="203"/>
      <c r="K11" s="219"/>
      <c r="L11" s="220">
        <f>D11-H11</f>
        <v>2360.4</v>
      </c>
      <c r="M11" s="220">
        <f>E11-I11</f>
        <v>0</v>
      </c>
      <c r="N11" s="220"/>
      <c r="O11" s="80"/>
      <c r="P11" s="80">
        <v>2000</v>
      </c>
      <c r="Q11" s="80">
        <v>200</v>
      </c>
      <c r="R11" s="80"/>
      <c r="S11" s="1">
        <f t="shared" si="3"/>
        <v>2200</v>
      </c>
      <c r="T11" s="80"/>
      <c r="U11" s="80"/>
      <c r="V11" s="80"/>
      <c r="W11" s="80"/>
      <c r="X11" s="80"/>
      <c r="Y11" s="80"/>
      <c r="Z11" s="203">
        <f t="shared" si="2"/>
        <v>4560.3999999999996</v>
      </c>
      <c r="AC11" s="163"/>
      <c r="AD11" s="98"/>
      <c r="AE11" s="99"/>
      <c r="AF11" s="100"/>
    </row>
    <row r="12" spans="1:249" s="154" customFormat="1" ht="14.45" customHeight="1" thickBot="1" x14ac:dyDescent="0.3">
      <c r="A12" s="214">
        <v>5888</v>
      </c>
      <c r="B12" s="221" t="s">
        <v>25</v>
      </c>
      <c r="C12" s="216">
        <v>89</v>
      </c>
      <c r="D12" s="5">
        <v>5251.89</v>
      </c>
      <c r="E12" s="80">
        <v>655</v>
      </c>
      <c r="F12" s="217"/>
      <c r="G12" s="218"/>
      <c r="H12" s="211"/>
      <c r="I12" s="212"/>
      <c r="J12" s="203"/>
      <c r="K12" s="219"/>
      <c r="L12" s="202">
        <f t="shared" si="0"/>
        <v>5251.89</v>
      </c>
      <c r="M12" s="202">
        <v>655</v>
      </c>
      <c r="N12" s="202"/>
      <c r="O12" s="80"/>
      <c r="P12" s="80"/>
      <c r="Q12" s="80">
        <v>5</v>
      </c>
      <c r="R12" s="80"/>
      <c r="S12" s="1">
        <f t="shared" si="3"/>
        <v>5</v>
      </c>
      <c r="T12" s="80"/>
      <c r="U12" s="80"/>
      <c r="V12" s="80"/>
      <c r="W12" s="80"/>
      <c r="X12" s="80"/>
      <c r="Y12" s="80"/>
      <c r="Z12" s="203">
        <f t="shared" si="2"/>
        <v>5911.89</v>
      </c>
      <c r="AB12"/>
      <c r="AC12" s="84"/>
      <c r="AD12" s="90"/>
      <c r="AE12" s="91"/>
      <c r="AF12" s="92"/>
    </row>
    <row r="13" spans="1:249" ht="15.75" thickBot="1" x14ac:dyDescent="0.3">
      <c r="A13" s="204">
        <v>5889</v>
      </c>
      <c r="B13" s="205" t="s">
        <v>26</v>
      </c>
      <c r="C13" s="194">
        <v>22</v>
      </c>
      <c r="D13" s="222">
        <v>1298.22</v>
      </c>
      <c r="E13" s="206"/>
      <c r="F13" s="207"/>
      <c r="G13" s="208"/>
      <c r="H13" s="198"/>
      <c r="I13" s="209"/>
      <c r="J13" s="210"/>
      <c r="K13" s="201"/>
      <c r="L13" s="202">
        <f t="shared" si="0"/>
        <v>1298.22</v>
      </c>
      <c r="M13" s="202">
        <f t="shared" si="1"/>
        <v>0</v>
      </c>
      <c r="N13" s="202"/>
      <c r="O13" s="1"/>
      <c r="P13" s="1">
        <v>1100</v>
      </c>
      <c r="Q13" s="1">
        <v>220</v>
      </c>
      <c r="R13" s="1"/>
      <c r="S13" s="1">
        <f t="shared" si="3"/>
        <v>1320</v>
      </c>
      <c r="T13" s="1"/>
      <c r="U13" s="1"/>
      <c r="V13" s="1"/>
      <c r="W13" s="1"/>
      <c r="X13" s="1"/>
      <c r="Y13" s="1"/>
      <c r="Z13" s="203">
        <f t="shared" si="2"/>
        <v>2618.2200000000003</v>
      </c>
      <c r="AC13" s="84"/>
      <c r="AD13" s="90"/>
      <c r="AE13" s="91"/>
      <c r="AF13" s="92"/>
    </row>
    <row r="14" spans="1:249" s="154" customFormat="1" ht="15.75" thickBot="1" x14ac:dyDescent="0.3">
      <c r="A14" s="214">
        <v>5494</v>
      </c>
      <c r="B14" s="221" t="s">
        <v>27</v>
      </c>
      <c r="C14" s="216">
        <v>136</v>
      </c>
      <c r="D14" s="5">
        <v>8025.36</v>
      </c>
      <c r="E14" s="213">
        <v>20000</v>
      </c>
      <c r="F14" s="217" t="s">
        <v>680</v>
      </c>
      <c r="G14" s="218"/>
      <c r="H14" s="211">
        <v>5000</v>
      </c>
      <c r="I14" s="212"/>
      <c r="J14" s="203"/>
      <c r="K14" s="219"/>
      <c r="L14" s="220">
        <f t="shared" si="0"/>
        <v>3025.3599999999997</v>
      </c>
      <c r="M14" s="220">
        <f t="shared" si="1"/>
        <v>20000</v>
      </c>
      <c r="N14" s="220"/>
      <c r="O14" s="80"/>
      <c r="P14" s="1">
        <v>0</v>
      </c>
      <c r="Q14" s="80"/>
      <c r="R14" s="80"/>
      <c r="S14" s="1">
        <f t="shared" si="3"/>
        <v>0</v>
      </c>
      <c r="T14" s="80"/>
      <c r="U14" s="80"/>
      <c r="V14" s="80"/>
      <c r="W14" s="80"/>
      <c r="X14" s="80"/>
      <c r="Y14" s="80"/>
      <c r="Z14" s="203">
        <f t="shared" si="2"/>
        <v>23025.360000000001</v>
      </c>
      <c r="AB14"/>
      <c r="AC14" s="84"/>
      <c r="AD14" s="90"/>
      <c r="AE14" s="91"/>
      <c r="AF14" s="92"/>
    </row>
    <row r="15" spans="1:249" s="154" customFormat="1" ht="15.75" thickBot="1" x14ac:dyDescent="0.3">
      <c r="A15" s="214">
        <v>5893</v>
      </c>
      <c r="B15" s="221" t="s">
        <v>28</v>
      </c>
      <c r="C15" s="216">
        <v>17</v>
      </c>
      <c r="D15" s="5">
        <v>826.14</v>
      </c>
      <c r="E15" s="213">
        <v>225</v>
      </c>
      <c r="F15" s="217"/>
      <c r="G15" s="218"/>
      <c r="H15" s="211"/>
      <c r="I15" s="212"/>
      <c r="J15" s="203"/>
      <c r="K15" s="219"/>
      <c r="L15" s="220">
        <f t="shared" si="0"/>
        <v>826.14</v>
      </c>
      <c r="M15" s="220">
        <f t="shared" si="1"/>
        <v>225</v>
      </c>
      <c r="N15" s="220"/>
      <c r="O15" s="80"/>
      <c r="P15" s="80"/>
      <c r="Q15" s="80"/>
      <c r="R15" s="80"/>
      <c r="S15" s="1">
        <f t="shared" si="3"/>
        <v>0</v>
      </c>
      <c r="T15" s="80"/>
      <c r="U15" s="80"/>
      <c r="V15" s="80"/>
      <c r="W15" s="80"/>
      <c r="X15" s="80"/>
      <c r="Y15" s="80"/>
      <c r="Z15" s="203">
        <f t="shared" si="2"/>
        <v>1051.1399999999999</v>
      </c>
      <c r="AB15"/>
      <c r="AC15" s="84"/>
      <c r="AD15" s="90"/>
      <c r="AE15" s="91"/>
      <c r="AF15" s="92"/>
    </row>
    <row r="16" spans="1:249" ht="15.75" thickBot="1" x14ac:dyDescent="0.3">
      <c r="A16" s="204">
        <v>5894</v>
      </c>
      <c r="B16" s="205" t="s">
        <v>29</v>
      </c>
      <c r="C16" s="194">
        <v>30</v>
      </c>
      <c r="D16" s="2">
        <v>1711.29</v>
      </c>
      <c r="E16" s="206">
        <v>605</v>
      </c>
      <c r="F16" s="207"/>
      <c r="G16" s="208"/>
      <c r="H16" s="198"/>
      <c r="I16" s="209"/>
      <c r="J16" s="210"/>
      <c r="K16" s="201"/>
      <c r="L16" s="202">
        <f t="shared" si="0"/>
        <v>1711.29</v>
      </c>
      <c r="M16" s="202">
        <f t="shared" si="1"/>
        <v>605</v>
      </c>
      <c r="N16" s="202"/>
      <c r="O16" s="1"/>
      <c r="P16" s="1"/>
      <c r="Q16" s="1">
        <v>5</v>
      </c>
      <c r="R16" s="1"/>
      <c r="S16" s="1">
        <f t="shared" si="3"/>
        <v>5</v>
      </c>
      <c r="T16" s="1"/>
      <c r="U16" s="1"/>
      <c r="V16" s="1"/>
      <c r="W16" s="1"/>
      <c r="X16" s="1"/>
      <c r="Y16" s="1"/>
      <c r="Z16" s="203">
        <f t="shared" si="2"/>
        <v>2321.29</v>
      </c>
      <c r="AC16" s="84"/>
      <c r="AD16" s="90"/>
      <c r="AE16" s="91"/>
      <c r="AF16" s="92"/>
    </row>
    <row r="17" spans="1:32" ht="15.75" thickBot="1" x14ac:dyDescent="0.3">
      <c r="A17" s="204">
        <v>4125</v>
      </c>
      <c r="B17" s="205" t="s">
        <v>30</v>
      </c>
      <c r="C17" s="194">
        <v>89</v>
      </c>
      <c r="D17" s="3">
        <v>5428.92</v>
      </c>
      <c r="E17" s="206">
        <v>805</v>
      </c>
      <c r="F17" s="207" t="s">
        <v>680</v>
      </c>
      <c r="G17" s="208"/>
      <c r="H17" s="198"/>
      <c r="I17" s="209"/>
      <c r="J17" s="210"/>
      <c r="K17" s="201"/>
      <c r="L17" s="202">
        <f t="shared" si="0"/>
        <v>5428.92</v>
      </c>
      <c r="M17" s="202">
        <f t="shared" si="1"/>
        <v>805</v>
      </c>
      <c r="N17" s="202"/>
      <c r="O17" s="1"/>
      <c r="P17" s="1"/>
      <c r="Q17" s="1"/>
      <c r="R17" s="1"/>
      <c r="S17" s="1">
        <f t="shared" si="3"/>
        <v>0</v>
      </c>
      <c r="T17" s="1"/>
      <c r="U17" s="1"/>
      <c r="V17" s="1"/>
      <c r="W17" s="1"/>
      <c r="X17" s="1"/>
      <c r="Y17" s="1"/>
      <c r="Z17" s="203">
        <f t="shared" si="2"/>
        <v>6233.92</v>
      </c>
      <c r="AC17" s="84"/>
      <c r="AD17" s="90"/>
      <c r="AE17" s="91"/>
      <c r="AF17" s="92"/>
    </row>
    <row r="18" spans="1:32" ht="15.75" thickBot="1" x14ac:dyDescent="0.3">
      <c r="A18" s="204">
        <v>5497</v>
      </c>
      <c r="B18" s="205" t="s">
        <v>576</v>
      </c>
      <c r="C18" s="194">
        <v>12</v>
      </c>
      <c r="D18" s="3">
        <v>708.12</v>
      </c>
      <c r="E18" s="206">
        <v>80</v>
      </c>
      <c r="F18" s="207"/>
      <c r="G18" s="208"/>
      <c r="H18" s="198"/>
      <c r="I18" s="209"/>
      <c r="J18" s="210"/>
      <c r="K18" s="201"/>
      <c r="L18" s="202">
        <f t="shared" si="0"/>
        <v>708.12</v>
      </c>
      <c r="M18" s="202">
        <f t="shared" si="1"/>
        <v>80</v>
      </c>
      <c r="N18" s="202"/>
      <c r="O18" s="1"/>
      <c r="P18" s="1"/>
      <c r="Q18" s="1"/>
      <c r="R18" s="1"/>
      <c r="S18" s="1">
        <f t="shared" ref="S18:S54" si="4">SUM(P18:Q18)</f>
        <v>0</v>
      </c>
      <c r="T18" s="1"/>
      <c r="U18" s="1"/>
      <c r="V18" s="1"/>
      <c r="W18" s="1"/>
      <c r="X18" s="1"/>
      <c r="Y18" s="1"/>
      <c r="Z18" s="203">
        <f t="shared" si="2"/>
        <v>788.12</v>
      </c>
      <c r="AA18" s="154"/>
      <c r="AC18" s="84"/>
      <c r="AD18" s="90"/>
      <c r="AE18" s="91"/>
      <c r="AF18" s="92"/>
    </row>
    <row r="19" spans="1:32" s="154" customFormat="1" ht="15.6" customHeight="1" thickBot="1" x14ac:dyDescent="0.3">
      <c r="A19" s="214">
        <v>5899</v>
      </c>
      <c r="B19" s="221" t="s">
        <v>31</v>
      </c>
      <c r="C19" s="216">
        <v>155</v>
      </c>
      <c r="D19" s="3">
        <v>8910.51</v>
      </c>
      <c r="E19" s="213">
        <v>6340</v>
      </c>
      <c r="F19" s="217"/>
      <c r="G19" s="218"/>
      <c r="H19" s="211"/>
      <c r="I19" s="212"/>
      <c r="J19" s="203"/>
      <c r="K19" s="219"/>
      <c r="L19" s="220">
        <f t="shared" si="0"/>
        <v>8910.51</v>
      </c>
      <c r="M19" s="220">
        <f t="shared" si="1"/>
        <v>6340</v>
      </c>
      <c r="N19" s="220"/>
      <c r="O19" s="80"/>
      <c r="P19" s="80"/>
      <c r="Q19" s="80"/>
      <c r="R19" s="80"/>
      <c r="S19" s="1">
        <f t="shared" si="4"/>
        <v>0</v>
      </c>
      <c r="T19" s="80"/>
      <c r="U19" s="80"/>
      <c r="V19" s="80"/>
      <c r="W19" s="80"/>
      <c r="X19" s="80"/>
      <c r="Y19" s="80"/>
      <c r="Z19" s="203">
        <f t="shared" si="2"/>
        <v>15250.51</v>
      </c>
      <c r="AB19"/>
      <c r="AC19" s="84"/>
      <c r="AD19" s="90"/>
      <c r="AE19" s="91"/>
      <c r="AF19" s="92"/>
    </row>
    <row r="20" spans="1:32" s="154" customFormat="1" ht="15.75" thickBot="1" x14ac:dyDescent="0.3">
      <c r="A20" s="214">
        <v>5902</v>
      </c>
      <c r="B20" s="221" t="s">
        <v>32</v>
      </c>
      <c r="C20" s="216">
        <v>117</v>
      </c>
      <c r="D20" s="5">
        <v>6904.17</v>
      </c>
      <c r="E20" s="213">
        <v>3095</v>
      </c>
      <c r="F20" s="217"/>
      <c r="G20" s="218"/>
      <c r="H20" s="211"/>
      <c r="I20" s="212">
        <v>750</v>
      </c>
      <c r="J20" s="203"/>
      <c r="K20" s="219"/>
      <c r="L20" s="220">
        <f t="shared" si="0"/>
        <v>6904.17</v>
      </c>
      <c r="M20" s="220">
        <f t="shared" si="1"/>
        <v>2345</v>
      </c>
      <c r="N20" s="220"/>
      <c r="O20" s="80"/>
      <c r="P20" s="80"/>
      <c r="Q20" s="80">
        <v>775</v>
      </c>
      <c r="R20" s="80"/>
      <c r="S20" s="1">
        <f t="shared" si="4"/>
        <v>775</v>
      </c>
      <c r="T20" s="80"/>
      <c r="U20" s="80"/>
      <c r="V20" s="80"/>
      <c r="W20" s="80"/>
      <c r="X20" s="80"/>
      <c r="Y20" s="80"/>
      <c r="Z20" s="203">
        <f t="shared" si="2"/>
        <v>10024.17</v>
      </c>
      <c r="AB20"/>
      <c r="AC20" s="84"/>
      <c r="AD20" s="90"/>
      <c r="AE20" s="91"/>
      <c r="AF20" s="92"/>
    </row>
    <row r="21" spans="1:32" s="154" customFormat="1" ht="15.75" thickBot="1" x14ac:dyDescent="0.3">
      <c r="A21" s="214">
        <v>11105</v>
      </c>
      <c r="B21" s="221" t="s">
        <v>33</v>
      </c>
      <c r="C21" s="216">
        <v>335</v>
      </c>
      <c r="D21" s="3">
        <v>20240.43</v>
      </c>
      <c r="E21" s="222">
        <v>26985</v>
      </c>
      <c r="F21" s="217"/>
      <c r="G21" s="218"/>
      <c r="H21" s="211"/>
      <c r="I21" s="212"/>
      <c r="J21" s="203"/>
      <c r="K21" s="219"/>
      <c r="L21" s="220">
        <f t="shared" si="0"/>
        <v>20240.43</v>
      </c>
      <c r="M21" s="220">
        <f t="shared" si="1"/>
        <v>26985</v>
      </c>
      <c r="N21" s="220"/>
      <c r="O21" s="80"/>
      <c r="P21" s="80"/>
      <c r="Q21" s="80">
        <v>3</v>
      </c>
      <c r="R21" s="80"/>
      <c r="S21" s="1">
        <f t="shared" si="4"/>
        <v>3</v>
      </c>
      <c r="T21" s="80"/>
      <c r="U21" s="80"/>
      <c r="V21" s="80"/>
      <c r="W21" s="80"/>
      <c r="X21" s="80"/>
      <c r="Y21" s="80"/>
      <c r="Z21" s="203">
        <f t="shared" si="2"/>
        <v>47228.43</v>
      </c>
      <c r="AB21"/>
      <c r="AC21" s="84"/>
      <c r="AD21" s="90"/>
      <c r="AE21" s="91"/>
      <c r="AF21" s="92"/>
    </row>
    <row r="22" spans="1:32" ht="15.75" thickBot="1" x14ac:dyDescent="0.3">
      <c r="A22" s="204"/>
      <c r="B22" s="205" t="s">
        <v>34</v>
      </c>
      <c r="C22" s="194">
        <v>0</v>
      </c>
      <c r="D22" s="3"/>
      <c r="E22" s="206"/>
      <c r="F22" s="207"/>
      <c r="G22" s="208"/>
      <c r="H22" s="198"/>
      <c r="I22" s="209"/>
      <c r="J22" s="210"/>
      <c r="K22" s="201"/>
      <c r="L22" s="202">
        <f t="shared" si="0"/>
        <v>0</v>
      </c>
      <c r="M22" s="202">
        <f t="shared" si="1"/>
        <v>0</v>
      </c>
      <c r="N22" s="202"/>
      <c r="O22" s="1"/>
      <c r="P22" s="1"/>
      <c r="Q22" s="1"/>
      <c r="R22" s="1"/>
      <c r="S22" s="1">
        <f t="shared" si="4"/>
        <v>0</v>
      </c>
      <c r="T22" s="1"/>
      <c r="U22" s="1"/>
      <c r="V22" s="1"/>
      <c r="W22" s="1"/>
      <c r="X22" s="1"/>
      <c r="Y22" s="1"/>
      <c r="Z22" s="203">
        <f t="shared" si="2"/>
        <v>0</v>
      </c>
      <c r="AC22" s="84"/>
      <c r="AD22" s="90"/>
      <c r="AE22" s="91"/>
      <c r="AF22" s="92"/>
    </row>
    <row r="23" spans="1:32" s="154" customFormat="1" ht="15.75" thickBot="1" x14ac:dyDescent="0.3">
      <c r="A23" s="214">
        <v>5905</v>
      </c>
      <c r="B23" s="221" t="s">
        <v>35</v>
      </c>
      <c r="C23" s="216">
        <v>97</v>
      </c>
      <c r="D23" s="3">
        <v>3068.52</v>
      </c>
      <c r="E23" s="213"/>
      <c r="F23" s="217"/>
      <c r="G23" s="218"/>
      <c r="H23" s="211"/>
      <c r="I23" s="212"/>
      <c r="J23" s="203"/>
      <c r="K23" s="219"/>
      <c r="L23" s="220">
        <f t="shared" si="0"/>
        <v>3068.52</v>
      </c>
      <c r="M23" s="220">
        <f t="shared" si="1"/>
        <v>0</v>
      </c>
      <c r="N23" s="220"/>
      <c r="P23" s="80">
        <v>4850</v>
      </c>
      <c r="Q23" s="80">
        <v>970</v>
      </c>
      <c r="R23" s="80"/>
      <c r="S23" s="1">
        <f t="shared" si="4"/>
        <v>5820</v>
      </c>
      <c r="T23" s="80"/>
      <c r="U23" s="80"/>
      <c r="V23" s="80"/>
      <c r="W23" s="80"/>
      <c r="X23" s="80"/>
      <c r="Y23" s="80"/>
      <c r="Z23" s="203">
        <f t="shared" si="2"/>
        <v>8888.52</v>
      </c>
      <c r="AB23"/>
      <c r="AC23" s="84"/>
      <c r="AD23" s="90"/>
      <c r="AE23" s="91"/>
      <c r="AF23" s="92"/>
    </row>
    <row r="24" spans="1:32" s="154" customFormat="1" ht="15.75" thickBot="1" x14ac:dyDescent="0.3">
      <c r="A24" s="214">
        <v>9335</v>
      </c>
      <c r="B24" s="221" t="s">
        <v>36</v>
      </c>
      <c r="C24" s="216">
        <v>92</v>
      </c>
      <c r="D24" s="5">
        <v>5546.94</v>
      </c>
      <c r="E24" s="213">
        <v>4225</v>
      </c>
      <c r="F24" s="217"/>
      <c r="G24" s="218"/>
      <c r="H24" s="211">
        <v>1307.83</v>
      </c>
      <c r="I24" s="212">
        <v>1181.67</v>
      </c>
      <c r="J24" s="203"/>
      <c r="K24" s="219"/>
      <c r="L24" s="220">
        <f t="shared" si="0"/>
        <v>4239.1099999999997</v>
      </c>
      <c r="M24" s="220">
        <f t="shared" si="1"/>
        <v>3043.33</v>
      </c>
      <c r="N24" s="220"/>
      <c r="O24" s="80"/>
      <c r="P24" s="80">
        <v>383.37</v>
      </c>
      <c r="Q24" s="80">
        <v>61.63</v>
      </c>
      <c r="R24" s="80"/>
      <c r="S24" s="1">
        <f t="shared" si="4"/>
        <v>445</v>
      </c>
      <c r="T24" s="80"/>
      <c r="U24" s="80"/>
      <c r="V24" s="80"/>
      <c r="W24" s="80"/>
      <c r="X24" s="80"/>
      <c r="Z24" s="203">
        <f t="shared" si="2"/>
        <v>7727.44</v>
      </c>
      <c r="AC24" s="163"/>
      <c r="AD24" s="98"/>
      <c r="AE24" s="99"/>
      <c r="AF24" s="100"/>
    </row>
    <row r="25" spans="1:32" s="154" customFormat="1" ht="15.75" thickBot="1" x14ac:dyDescent="0.3">
      <c r="A25" s="214">
        <v>5908</v>
      </c>
      <c r="B25" s="221" t="s">
        <v>37</v>
      </c>
      <c r="C25" s="216">
        <v>93</v>
      </c>
      <c r="D25" s="3">
        <v>5487.93</v>
      </c>
      <c r="E25" s="213">
        <v>2675</v>
      </c>
      <c r="F25" s="217"/>
      <c r="G25" s="218"/>
      <c r="H25" s="211"/>
      <c r="I25" s="212"/>
      <c r="J25" s="203"/>
      <c r="K25" s="219"/>
      <c r="L25" s="220">
        <f t="shared" si="0"/>
        <v>5487.93</v>
      </c>
      <c r="M25" s="220">
        <f t="shared" si="1"/>
        <v>2675</v>
      </c>
      <c r="N25" s="220"/>
      <c r="O25" s="80"/>
      <c r="P25" s="80">
        <v>7.0000000000000007E-2</v>
      </c>
      <c r="Q25" s="154">
        <v>-0.08</v>
      </c>
      <c r="S25" s="1">
        <f t="shared" si="4"/>
        <v>-9.999999999999995E-3</v>
      </c>
      <c r="T25" s="80"/>
      <c r="U25" s="80"/>
      <c r="V25" s="80"/>
      <c r="W25" s="80"/>
      <c r="X25" s="80"/>
      <c r="Y25" s="80"/>
      <c r="Z25" s="203">
        <f t="shared" si="2"/>
        <v>8162.92</v>
      </c>
      <c r="AB25"/>
      <c r="AC25" s="84"/>
      <c r="AD25" s="90"/>
      <c r="AE25" s="91"/>
      <c r="AF25" s="92"/>
    </row>
    <row r="26" spans="1:32" ht="15.75" thickBot="1" x14ac:dyDescent="0.3">
      <c r="A26" s="204">
        <v>5909</v>
      </c>
      <c r="B26" s="205" t="s">
        <v>38</v>
      </c>
      <c r="C26" s="194">
        <v>10</v>
      </c>
      <c r="D26" s="3">
        <v>590.1</v>
      </c>
      <c r="E26" s="206">
        <v>205</v>
      </c>
      <c r="F26" s="207"/>
      <c r="G26" s="208"/>
      <c r="H26" s="198"/>
      <c r="I26" s="209"/>
      <c r="J26" s="210"/>
      <c r="K26" s="201"/>
      <c r="L26" s="202">
        <f t="shared" si="0"/>
        <v>590.1</v>
      </c>
      <c r="M26" s="202">
        <f t="shared" si="1"/>
        <v>205</v>
      </c>
      <c r="N26" s="202"/>
      <c r="O26" s="1"/>
      <c r="P26" s="1">
        <v>75</v>
      </c>
      <c r="Q26" s="1">
        <v>62.5</v>
      </c>
      <c r="R26" s="1"/>
      <c r="S26" s="1">
        <f t="shared" si="4"/>
        <v>137.5</v>
      </c>
      <c r="T26" s="1"/>
      <c r="U26" s="1"/>
      <c r="V26" s="1"/>
      <c r="W26" s="1"/>
      <c r="X26" s="1"/>
      <c r="Y26" s="1"/>
      <c r="Z26" s="203">
        <f t="shared" si="2"/>
        <v>932.6</v>
      </c>
      <c r="AC26" s="84"/>
      <c r="AD26" s="90"/>
      <c r="AE26" s="91"/>
      <c r="AF26" s="92"/>
    </row>
    <row r="27" spans="1:32" s="154" customFormat="1" ht="15.75" thickBot="1" x14ac:dyDescent="0.3">
      <c r="A27" s="214">
        <v>5508</v>
      </c>
      <c r="B27" s="221" t="s">
        <v>39</v>
      </c>
      <c r="C27" s="216">
        <v>43</v>
      </c>
      <c r="D27" s="3">
        <v>2478.42</v>
      </c>
      <c r="E27" s="213">
        <v>500</v>
      </c>
      <c r="F27" s="217" t="s">
        <v>680</v>
      </c>
      <c r="G27" s="218"/>
      <c r="H27" s="211">
        <v>2478.42</v>
      </c>
      <c r="I27" s="212">
        <v>500</v>
      </c>
      <c r="J27" s="203"/>
      <c r="K27" s="219"/>
      <c r="L27" s="220">
        <f t="shared" si="0"/>
        <v>0</v>
      </c>
      <c r="M27" s="220">
        <f t="shared" si="1"/>
        <v>0</v>
      </c>
      <c r="N27" s="220"/>
      <c r="O27" s="80"/>
      <c r="P27" s="80"/>
      <c r="Q27" s="80">
        <v>5</v>
      </c>
      <c r="R27" s="80"/>
      <c r="S27" s="1">
        <f t="shared" si="4"/>
        <v>5</v>
      </c>
      <c r="T27" s="80"/>
      <c r="U27" s="80"/>
      <c r="V27" s="80"/>
      <c r="W27" s="80"/>
      <c r="X27" s="80"/>
      <c r="Y27" s="80"/>
      <c r="Z27" s="203">
        <f t="shared" si="2"/>
        <v>5</v>
      </c>
      <c r="AB27"/>
      <c r="AC27" s="84"/>
      <c r="AD27" s="90"/>
      <c r="AE27" s="91"/>
      <c r="AF27" s="92"/>
    </row>
    <row r="28" spans="1:32" s="154" customFormat="1" ht="15.75" thickBot="1" x14ac:dyDescent="0.3">
      <c r="A28" s="214">
        <v>5411</v>
      </c>
      <c r="B28" s="221" t="s">
        <v>40</v>
      </c>
      <c r="C28" s="216">
        <v>230</v>
      </c>
      <c r="D28" s="3">
        <v>13572.3</v>
      </c>
      <c r="E28" s="213">
        <v>12150</v>
      </c>
      <c r="F28" s="217"/>
      <c r="G28" s="218"/>
      <c r="H28" s="211"/>
      <c r="I28" s="212"/>
      <c r="J28" s="203"/>
      <c r="K28" s="219"/>
      <c r="L28" s="220">
        <f t="shared" si="0"/>
        <v>13572.3</v>
      </c>
      <c r="M28" s="220">
        <f t="shared" si="1"/>
        <v>12150</v>
      </c>
      <c r="N28" s="220"/>
      <c r="O28" s="80"/>
      <c r="P28" s="80">
        <v>1632.43</v>
      </c>
      <c r="Q28" s="80">
        <v>11478.06</v>
      </c>
      <c r="R28" s="80"/>
      <c r="S28" s="1">
        <f t="shared" si="4"/>
        <v>13110.49</v>
      </c>
      <c r="T28" s="80">
        <v>11000</v>
      </c>
      <c r="U28" s="80"/>
      <c r="V28" s="80"/>
      <c r="W28" s="80"/>
      <c r="X28" s="80"/>
      <c r="Y28" s="80"/>
      <c r="Z28" s="203">
        <f>L28+M28+S28-T28</f>
        <v>27832.79</v>
      </c>
      <c r="AA28" s="154">
        <v>14260.49</v>
      </c>
      <c r="AB28"/>
      <c r="AC28" s="84"/>
      <c r="AD28" s="90"/>
      <c r="AE28" s="91"/>
      <c r="AF28" s="92"/>
    </row>
    <row r="29" spans="1:32" ht="15.75" thickBot="1" x14ac:dyDescent="0.3">
      <c r="A29" s="204">
        <v>5910</v>
      </c>
      <c r="B29" s="205" t="s">
        <v>41</v>
      </c>
      <c r="C29" s="194">
        <v>17</v>
      </c>
      <c r="D29" s="3">
        <v>1003.17</v>
      </c>
      <c r="E29" s="206">
        <v>175</v>
      </c>
      <c r="F29" s="207"/>
      <c r="G29" s="208"/>
      <c r="H29" s="198"/>
      <c r="I29" s="209"/>
      <c r="J29" s="210"/>
      <c r="K29" s="201"/>
      <c r="L29" s="202">
        <f t="shared" si="0"/>
        <v>1003.17</v>
      </c>
      <c r="M29" s="202">
        <f t="shared" si="1"/>
        <v>175</v>
      </c>
      <c r="N29" s="202"/>
      <c r="O29" s="1"/>
      <c r="P29" s="1"/>
      <c r="Q29" s="1">
        <v>85</v>
      </c>
      <c r="R29" s="1"/>
      <c r="S29" s="1">
        <f t="shared" si="4"/>
        <v>85</v>
      </c>
      <c r="T29" s="1"/>
      <c r="U29" s="1"/>
      <c r="V29" s="1"/>
      <c r="W29" s="1"/>
      <c r="X29" s="1"/>
      <c r="Y29" s="1"/>
      <c r="Z29" s="203">
        <f t="shared" si="2"/>
        <v>1263.17</v>
      </c>
      <c r="AC29" s="84"/>
      <c r="AD29" s="90"/>
      <c r="AE29" s="91"/>
      <c r="AF29" s="92"/>
    </row>
    <row r="30" spans="1:32" ht="15.75" thickBot="1" x14ac:dyDescent="0.3">
      <c r="A30" s="204">
        <v>5496</v>
      </c>
      <c r="B30" s="205" t="s">
        <v>42</v>
      </c>
      <c r="C30" s="194">
        <v>34</v>
      </c>
      <c r="D30" s="3">
        <v>2006.34</v>
      </c>
      <c r="E30" s="206"/>
      <c r="F30" s="207"/>
      <c r="G30" s="208"/>
      <c r="H30" s="198"/>
      <c r="I30" s="209"/>
      <c r="J30" s="210"/>
      <c r="K30" s="201"/>
      <c r="L30" s="202">
        <f t="shared" si="0"/>
        <v>2006.34</v>
      </c>
      <c r="M30" s="202">
        <f t="shared" si="1"/>
        <v>0</v>
      </c>
      <c r="N30" s="202"/>
      <c r="O30" s="1"/>
      <c r="P30" s="1">
        <v>1700</v>
      </c>
      <c r="Q30" s="1"/>
      <c r="R30" s="1"/>
      <c r="S30" s="1">
        <f t="shared" si="4"/>
        <v>1700</v>
      </c>
      <c r="T30" s="1"/>
      <c r="U30" s="1"/>
      <c r="V30" s="1"/>
      <c r="W30" s="1"/>
      <c r="X30" s="1"/>
      <c r="Y30" s="1"/>
      <c r="Z30" s="203">
        <f t="shared" si="2"/>
        <v>3706.34</v>
      </c>
      <c r="AC30" s="84"/>
      <c r="AD30" s="90"/>
      <c r="AE30" s="91"/>
      <c r="AF30" s="92"/>
    </row>
    <row r="31" spans="1:32" ht="15.75" thickBot="1" x14ac:dyDescent="0.3">
      <c r="A31" s="204">
        <v>5503</v>
      </c>
      <c r="B31" s="205" t="s">
        <v>43</v>
      </c>
      <c r="C31" s="194">
        <v>48</v>
      </c>
      <c r="D31" s="3">
        <v>2596.44</v>
      </c>
      <c r="E31" s="206"/>
      <c r="F31" s="207"/>
      <c r="G31" s="208"/>
      <c r="H31" s="198"/>
      <c r="I31" s="209"/>
      <c r="J31" s="210"/>
      <c r="K31" s="201"/>
      <c r="L31" s="202">
        <f t="shared" si="0"/>
        <v>2596.44</v>
      </c>
      <c r="M31" s="202">
        <f t="shared" si="1"/>
        <v>0</v>
      </c>
      <c r="N31" s="202"/>
      <c r="O31" s="1"/>
      <c r="P31" s="1"/>
      <c r="Q31" s="1"/>
      <c r="R31" s="1"/>
      <c r="S31" s="1">
        <f t="shared" si="4"/>
        <v>0</v>
      </c>
      <c r="T31" s="1"/>
      <c r="U31" s="1"/>
      <c r="V31" s="1"/>
      <c r="W31" s="1"/>
      <c r="X31" s="1"/>
      <c r="Y31" s="1"/>
      <c r="Z31" s="203">
        <f t="shared" si="2"/>
        <v>2596.44</v>
      </c>
      <c r="AC31" s="84"/>
      <c r="AD31" s="90"/>
      <c r="AE31" s="91"/>
      <c r="AF31" s="92"/>
    </row>
    <row r="32" spans="1:32" s="154" customFormat="1" ht="15.75" thickBot="1" x14ac:dyDescent="0.3">
      <c r="A32" s="214">
        <v>5917</v>
      </c>
      <c r="B32" s="221" t="s">
        <v>44</v>
      </c>
      <c r="C32" s="216">
        <v>11</v>
      </c>
      <c r="D32" s="5">
        <v>649.11</v>
      </c>
      <c r="E32" s="213">
        <v>1905</v>
      </c>
      <c r="F32" s="217"/>
      <c r="G32" s="218"/>
      <c r="H32" s="211">
        <v>650</v>
      </c>
      <c r="I32" s="212">
        <v>1000</v>
      </c>
      <c r="J32" s="203"/>
      <c r="K32" s="219"/>
      <c r="L32" s="220">
        <f t="shared" si="0"/>
        <v>-0.88999999999998636</v>
      </c>
      <c r="M32" s="220">
        <f t="shared" si="1"/>
        <v>905</v>
      </c>
      <c r="N32" s="220"/>
      <c r="O32" s="80"/>
      <c r="P32" s="80"/>
      <c r="Q32" s="80">
        <v>900</v>
      </c>
      <c r="R32" s="80"/>
      <c r="S32" s="1">
        <f t="shared" si="4"/>
        <v>900</v>
      </c>
      <c r="T32" s="80"/>
      <c r="U32" s="80"/>
      <c r="V32" s="80"/>
      <c r="W32" s="80"/>
      <c r="X32" s="80"/>
      <c r="Y32" s="80"/>
      <c r="Z32" s="203">
        <f t="shared" si="2"/>
        <v>1804.1100000000001</v>
      </c>
      <c r="AB32"/>
      <c r="AC32" s="84"/>
      <c r="AD32" s="90"/>
      <c r="AE32" s="91"/>
      <c r="AF32" s="92"/>
    </row>
    <row r="33" spans="1:32" ht="15.75" thickBot="1" x14ac:dyDescent="0.3">
      <c r="A33" s="204"/>
      <c r="B33" s="205" t="s">
        <v>434</v>
      </c>
      <c r="C33" s="194">
        <v>51</v>
      </c>
      <c r="D33" s="3">
        <v>3009.51</v>
      </c>
      <c r="E33" s="206"/>
      <c r="F33" s="207"/>
      <c r="G33" s="208"/>
      <c r="H33" s="198">
        <v>3009.51</v>
      </c>
      <c r="I33" s="209"/>
      <c r="J33" s="210"/>
      <c r="K33" s="201"/>
      <c r="L33" s="202">
        <f t="shared" si="0"/>
        <v>0</v>
      </c>
      <c r="M33" s="202">
        <f t="shared" si="1"/>
        <v>0</v>
      </c>
      <c r="N33" s="202"/>
      <c r="O33" s="1"/>
      <c r="P33" s="1">
        <v>2550</v>
      </c>
      <c r="Q33" s="1">
        <v>255</v>
      </c>
      <c r="R33" s="1"/>
      <c r="S33" s="1">
        <f t="shared" si="4"/>
        <v>2805</v>
      </c>
      <c r="T33" s="1"/>
      <c r="U33" s="1"/>
      <c r="V33" s="1"/>
      <c r="W33" s="1"/>
      <c r="X33" s="1"/>
      <c r="Y33" s="1"/>
      <c r="Z33" s="203">
        <f t="shared" si="2"/>
        <v>2805</v>
      </c>
      <c r="AC33" s="84"/>
      <c r="AD33" s="90"/>
      <c r="AE33" s="91"/>
      <c r="AF33" s="92"/>
    </row>
    <row r="34" spans="1:32" s="154" customFormat="1" ht="15.75" thickBot="1" x14ac:dyDescent="0.3">
      <c r="A34" s="214">
        <v>5506</v>
      </c>
      <c r="B34" s="221" t="s">
        <v>45</v>
      </c>
      <c r="C34" s="216">
        <v>137</v>
      </c>
      <c r="D34" s="5">
        <v>5369.91</v>
      </c>
      <c r="E34" s="213">
        <v>3520</v>
      </c>
      <c r="F34" s="217"/>
      <c r="G34" s="218"/>
      <c r="H34" s="211"/>
      <c r="I34" s="212"/>
      <c r="J34" s="203"/>
      <c r="K34" s="219"/>
      <c r="L34" s="220">
        <f t="shared" si="0"/>
        <v>5369.91</v>
      </c>
      <c r="M34" s="220">
        <f t="shared" si="1"/>
        <v>3520</v>
      </c>
      <c r="N34" s="220"/>
      <c r="O34" s="80"/>
      <c r="P34" s="80">
        <v>750</v>
      </c>
      <c r="Q34" s="80"/>
      <c r="R34" s="80"/>
      <c r="S34" s="1">
        <f t="shared" si="4"/>
        <v>750</v>
      </c>
      <c r="T34" s="80"/>
      <c r="U34" s="80"/>
      <c r="V34" s="80"/>
      <c r="W34" s="80"/>
      <c r="X34" s="80"/>
      <c r="Y34" s="80"/>
      <c r="Z34" s="203">
        <f t="shared" si="2"/>
        <v>9639.91</v>
      </c>
      <c r="AB34"/>
      <c r="AC34" s="84"/>
      <c r="AD34" s="90"/>
      <c r="AE34" s="91"/>
      <c r="AF34" s="92"/>
    </row>
    <row r="35" spans="1:32" ht="15.75" thickBot="1" x14ac:dyDescent="0.3">
      <c r="A35" s="204">
        <v>5509</v>
      </c>
      <c r="B35" s="205" t="s">
        <v>46</v>
      </c>
      <c r="C35" s="194">
        <v>26</v>
      </c>
      <c r="D35" s="3">
        <v>1357.23</v>
      </c>
      <c r="E35" s="206">
        <v>355</v>
      </c>
      <c r="F35" s="207" t="s">
        <v>680</v>
      </c>
      <c r="G35" s="208"/>
      <c r="H35" s="198"/>
      <c r="I35" s="209"/>
      <c r="J35" s="210"/>
      <c r="K35" s="201"/>
      <c r="L35" s="202">
        <f t="shared" si="0"/>
        <v>1357.23</v>
      </c>
      <c r="M35" s="202">
        <f t="shared" si="1"/>
        <v>355</v>
      </c>
      <c r="N35" s="202"/>
      <c r="O35" s="1"/>
      <c r="P35" s="1"/>
      <c r="Q35" s="1">
        <v>5</v>
      </c>
      <c r="R35" s="1"/>
      <c r="S35" s="1">
        <f t="shared" si="4"/>
        <v>5</v>
      </c>
      <c r="T35" s="1"/>
      <c r="U35" s="1"/>
      <c r="V35" s="1"/>
      <c r="W35" s="1"/>
      <c r="X35" s="1"/>
      <c r="Y35" s="1"/>
      <c r="Z35" s="203">
        <f t="shared" si="2"/>
        <v>1717.23</v>
      </c>
      <c r="AC35" s="84"/>
      <c r="AD35" s="90"/>
      <c r="AE35" s="91"/>
      <c r="AF35" s="92"/>
    </row>
    <row r="36" spans="1:32" s="154" customFormat="1" ht="15.75" thickBot="1" x14ac:dyDescent="0.3">
      <c r="A36" s="214">
        <v>5510</v>
      </c>
      <c r="B36" s="221" t="s">
        <v>47</v>
      </c>
      <c r="C36" s="216">
        <v>47</v>
      </c>
      <c r="D36" s="3">
        <v>2773.47</v>
      </c>
      <c r="E36" s="213">
        <v>1855</v>
      </c>
      <c r="F36" s="217"/>
      <c r="G36" s="218"/>
      <c r="H36" s="211"/>
      <c r="I36" s="212"/>
      <c r="J36" s="203"/>
      <c r="K36" s="219"/>
      <c r="L36" s="220">
        <f t="shared" si="0"/>
        <v>2773.47</v>
      </c>
      <c r="M36" s="220">
        <f t="shared" si="1"/>
        <v>1855</v>
      </c>
      <c r="N36" s="220"/>
      <c r="O36" s="80"/>
      <c r="P36" s="80">
        <v>-100</v>
      </c>
      <c r="Q36" s="80">
        <v>3</v>
      </c>
      <c r="R36" s="80"/>
      <c r="S36" s="1">
        <f t="shared" si="4"/>
        <v>-97</v>
      </c>
      <c r="T36" s="80"/>
      <c r="U36" s="80"/>
      <c r="V36" s="80"/>
      <c r="W36" s="80"/>
      <c r="X36" s="80"/>
      <c r="Y36" s="80"/>
      <c r="Z36" s="203">
        <f t="shared" si="2"/>
        <v>4531.4699999999993</v>
      </c>
      <c r="AB36"/>
      <c r="AC36" s="84"/>
      <c r="AD36" s="90"/>
      <c r="AE36" s="91"/>
      <c r="AF36" s="92"/>
    </row>
    <row r="37" spans="1:32" s="154" customFormat="1" ht="15.75" thickBot="1" x14ac:dyDescent="0.3">
      <c r="A37" s="214">
        <v>5511</v>
      </c>
      <c r="B37" s="221" t="s">
        <v>48</v>
      </c>
      <c r="C37" s="216">
        <v>186</v>
      </c>
      <c r="D37" s="3">
        <v>5605.95</v>
      </c>
      <c r="E37" s="213"/>
      <c r="F37" s="217"/>
      <c r="G37" s="218"/>
      <c r="H37" s="211"/>
      <c r="I37" s="212"/>
      <c r="J37" s="203"/>
      <c r="K37" s="219"/>
      <c r="L37" s="220">
        <f t="shared" si="0"/>
        <v>5605.95</v>
      </c>
      <c r="M37" s="220">
        <f t="shared" si="1"/>
        <v>0</v>
      </c>
      <c r="N37" s="220"/>
      <c r="O37" s="80"/>
      <c r="P37" s="80">
        <v>258</v>
      </c>
      <c r="Q37" s="80">
        <v>348</v>
      </c>
      <c r="R37" s="80"/>
      <c r="S37" s="1">
        <f t="shared" si="4"/>
        <v>606</v>
      </c>
      <c r="T37" s="80"/>
      <c r="U37" s="80"/>
      <c r="V37" s="80"/>
      <c r="W37" s="80"/>
      <c r="X37" s="80"/>
      <c r="Y37" s="80"/>
      <c r="Z37" s="203">
        <f t="shared" si="2"/>
        <v>6211.95</v>
      </c>
      <c r="AB37"/>
      <c r="AC37" s="84"/>
      <c r="AD37" s="90"/>
      <c r="AE37" s="91"/>
      <c r="AF37" s="92"/>
    </row>
    <row r="38" spans="1:32" ht="15.75" thickBot="1" x14ac:dyDescent="0.3">
      <c r="A38" s="204">
        <v>5911</v>
      </c>
      <c r="B38" s="205" t="s">
        <v>49</v>
      </c>
      <c r="C38" s="194">
        <v>41</v>
      </c>
      <c r="D38" s="3">
        <v>2596.44</v>
      </c>
      <c r="E38" s="206">
        <v>2600</v>
      </c>
      <c r="F38" s="207"/>
      <c r="G38" s="208"/>
      <c r="H38" s="198"/>
      <c r="I38" s="209"/>
      <c r="J38" s="210"/>
      <c r="K38" s="201"/>
      <c r="L38" s="202">
        <f t="shared" ref="L38:L56" si="5">D38-H38</f>
        <v>2596.44</v>
      </c>
      <c r="M38" s="202">
        <f t="shared" ref="M38:M56" si="6">E38-I38</f>
        <v>2600</v>
      </c>
      <c r="N38" s="202"/>
      <c r="O38" s="1"/>
      <c r="P38" s="1"/>
      <c r="Q38" s="1">
        <v>2705</v>
      </c>
      <c r="R38" s="1"/>
      <c r="S38" s="1">
        <f t="shared" si="4"/>
        <v>2705</v>
      </c>
      <c r="T38" s="1"/>
      <c r="U38" s="1"/>
      <c r="V38" s="1"/>
      <c r="W38" s="1"/>
      <c r="X38" s="1"/>
      <c r="Y38" s="1"/>
      <c r="Z38" s="203">
        <f t="shared" si="2"/>
        <v>7901.4400000000005</v>
      </c>
      <c r="AC38" s="84"/>
      <c r="AD38" s="90"/>
      <c r="AE38" s="91"/>
      <c r="AF38" s="92"/>
    </row>
    <row r="39" spans="1:32" s="154" customFormat="1" ht="15.75" thickBot="1" x14ac:dyDescent="0.3">
      <c r="A39" s="214">
        <v>5512</v>
      </c>
      <c r="B39" s="221" t="s">
        <v>589</v>
      </c>
      <c r="C39" s="216">
        <v>86</v>
      </c>
      <c r="D39" s="3">
        <v>5133.87</v>
      </c>
      <c r="E39" s="213">
        <v>2540</v>
      </c>
      <c r="F39" s="217"/>
      <c r="G39" s="218"/>
      <c r="H39" s="211"/>
      <c r="I39" s="212"/>
      <c r="J39" s="203"/>
      <c r="K39" s="219"/>
      <c r="L39" s="220">
        <f t="shared" si="5"/>
        <v>5133.87</v>
      </c>
      <c r="M39" s="220">
        <f t="shared" si="6"/>
        <v>2540</v>
      </c>
      <c r="N39" s="220"/>
      <c r="O39" s="80"/>
      <c r="P39" s="80"/>
      <c r="Q39" s="80">
        <v>5</v>
      </c>
      <c r="R39" s="80"/>
      <c r="S39" s="1">
        <f t="shared" si="4"/>
        <v>5</v>
      </c>
      <c r="T39" s="80"/>
      <c r="U39" s="80"/>
      <c r="V39" s="80"/>
      <c r="W39" s="80"/>
      <c r="X39" s="80"/>
      <c r="Y39" s="80"/>
      <c r="Z39" s="203">
        <f t="shared" si="2"/>
        <v>7678.87</v>
      </c>
      <c r="AB39"/>
      <c r="AC39" s="84"/>
      <c r="AD39" s="90"/>
      <c r="AE39" s="91"/>
      <c r="AF39" s="92"/>
    </row>
    <row r="40" spans="1:32" ht="15.75" thickBot="1" x14ac:dyDescent="0.3">
      <c r="A40" s="204">
        <v>5513</v>
      </c>
      <c r="B40" s="205" t="s">
        <v>50</v>
      </c>
      <c r="C40" s="194">
        <v>119</v>
      </c>
      <c r="D40" s="3">
        <v>6373.08</v>
      </c>
      <c r="E40" s="206">
        <v>6115</v>
      </c>
      <c r="F40" s="207"/>
      <c r="G40" s="208"/>
      <c r="H40" s="198"/>
      <c r="I40" s="212"/>
      <c r="J40" s="210"/>
      <c r="K40" s="201"/>
      <c r="L40" s="202">
        <f t="shared" si="5"/>
        <v>6373.08</v>
      </c>
      <c r="M40" s="202">
        <f t="shared" si="6"/>
        <v>6115</v>
      </c>
      <c r="N40" s="202"/>
      <c r="O40" s="1"/>
      <c r="P40" s="1">
        <v>-100</v>
      </c>
      <c r="Q40" s="1">
        <v>5</v>
      </c>
      <c r="R40" s="1"/>
      <c r="S40" s="1">
        <f t="shared" si="4"/>
        <v>-95</v>
      </c>
      <c r="T40" s="1"/>
      <c r="U40" s="1"/>
      <c r="V40" s="1"/>
      <c r="W40" s="1"/>
      <c r="X40" s="1"/>
      <c r="Y40" s="1"/>
      <c r="Z40" s="203">
        <f t="shared" si="2"/>
        <v>12393.08</v>
      </c>
      <c r="AC40" s="84"/>
      <c r="AD40" s="90"/>
      <c r="AE40" s="91"/>
      <c r="AF40" s="92"/>
    </row>
    <row r="41" spans="1:32" s="154" customFormat="1" ht="15.75" thickBot="1" x14ac:dyDescent="0.3">
      <c r="A41" s="214">
        <v>10301</v>
      </c>
      <c r="B41" s="221" t="s">
        <v>51</v>
      </c>
      <c r="C41" s="216">
        <v>75</v>
      </c>
      <c r="D41" s="3">
        <v>4012.68</v>
      </c>
      <c r="F41" s="217"/>
      <c r="G41" s="218"/>
      <c r="H41" s="211">
        <v>325</v>
      </c>
      <c r="I41" s="212"/>
      <c r="J41" s="203"/>
      <c r="K41" s="219"/>
      <c r="L41" s="220">
        <f t="shared" si="5"/>
        <v>3687.68</v>
      </c>
      <c r="M41" s="220">
        <v>0</v>
      </c>
      <c r="N41" s="220"/>
      <c r="O41" s="80"/>
      <c r="P41" s="80">
        <v>1840</v>
      </c>
      <c r="Q41" s="80"/>
      <c r="R41" s="80"/>
      <c r="S41" s="1">
        <f t="shared" si="4"/>
        <v>1840</v>
      </c>
      <c r="T41" s="80"/>
      <c r="U41" s="80"/>
      <c r="V41" s="80"/>
      <c r="W41" s="80"/>
      <c r="X41" s="80"/>
      <c r="Y41" s="80"/>
      <c r="Z41" s="203">
        <f t="shared" si="2"/>
        <v>5527.68</v>
      </c>
      <c r="AB41"/>
      <c r="AC41" s="84"/>
      <c r="AD41" s="90"/>
      <c r="AE41" s="91"/>
      <c r="AF41" s="92"/>
    </row>
    <row r="42" spans="1:32" ht="15.75" thickBot="1" x14ac:dyDescent="0.3">
      <c r="A42" s="204">
        <v>5912</v>
      </c>
      <c r="B42" s="205" t="s">
        <v>52</v>
      </c>
      <c r="C42" s="194">
        <v>14</v>
      </c>
      <c r="D42" s="3">
        <v>826.14</v>
      </c>
      <c r="E42" s="206"/>
      <c r="F42" s="207"/>
      <c r="G42" s="208"/>
      <c r="H42" s="198"/>
      <c r="I42" s="209"/>
      <c r="J42" s="210"/>
      <c r="K42" s="201"/>
      <c r="L42" s="202">
        <f t="shared" si="5"/>
        <v>826.14</v>
      </c>
      <c r="M42" s="202">
        <f t="shared" si="6"/>
        <v>0</v>
      </c>
      <c r="N42" s="202"/>
      <c r="O42" s="1"/>
      <c r="P42" s="1">
        <v>600</v>
      </c>
      <c r="Q42" s="1">
        <v>140</v>
      </c>
      <c r="R42" s="1"/>
      <c r="S42" s="1">
        <f t="shared" si="4"/>
        <v>740</v>
      </c>
      <c r="T42" s="1"/>
      <c r="U42" s="1"/>
      <c r="V42" s="1"/>
      <c r="W42" s="1"/>
      <c r="X42" s="1"/>
      <c r="Y42" s="1"/>
      <c r="Z42" s="203">
        <f t="shared" si="2"/>
        <v>1566.1399999999999</v>
      </c>
      <c r="AC42" s="84"/>
      <c r="AD42" s="90"/>
      <c r="AE42" s="91"/>
      <c r="AF42" s="92"/>
    </row>
    <row r="43" spans="1:32" s="154" customFormat="1" ht="15.75" thickBot="1" x14ac:dyDescent="0.3">
      <c r="A43" s="214">
        <v>5913</v>
      </c>
      <c r="B43" s="221" t="s">
        <v>53</v>
      </c>
      <c r="C43" s="216">
        <v>41</v>
      </c>
      <c r="D43" s="3">
        <v>2242.38</v>
      </c>
      <c r="E43" s="213">
        <v>6315</v>
      </c>
      <c r="F43" s="217" t="s">
        <v>680</v>
      </c>
      <c r="G43" s="218"/>
      <c r="H43" s="211">
        <v>560.6</v>
      </c>
      <c r="I43" s="212">
        <v>1578.75</v>
      </c>
      <c r="J43" s="203"/>
      <c r="K43" s="219"/>
      <c r="L43" s="220">
        <f t="shared" si="5"/>
        <v>1681.7800000000002</v>
      </c>
      <c r="M43" s="202">
        <f t="shared" si="6"/>
        <v>4736.25</v>
      </c>
      <c r="N43" s="220"/>
      <c r="O43" s="80"/>
      <c r="P43" s="80">
        <v>-250</v>
      </c>
      <c r="Q43" s="80">
        <v>2</v>
      </c>
      <c r="R43" s="80"/>
      <c r="S43" s="1">
        <f t="shared" si="4"/>
        <v>-248</v>
      </c>
      <c r="T43" s="80"/>
      <c r="U43" s="80"/>
      <c r="V43" s="80"/>
      <c r="W43" s="80"/>
      <c r="X43" s="80"/>
      <c r="Y43" s="80"/>
      <c r="Z43" s="203">
        <f t="shared" si="2"/>
        <v>6170.0300000000007</v>
      </c>
      <c r="AB43"/>
      <c r="AC43" s="84"/>
      <c r="AD43" s="90"/>
      <c r="AE43" s="91"/>
      <c r="AF43" s="92"/>
    </row>
    <row r="44" spans="1:32" ht="15.75" thickBot="1" x14ac:dyDescent="0.3">
      <c r="A44" s="204"/>
      <c r="B44" s="205" t="s">
        <v>541</v>
      </c>
      <c r="C44" s="194">
        <v>12</v>
      </c>
      <c r="D44" s="3">
        <v>590.1</v>
      </c>
      <c r="E44" s="206"/>
      <c r="F44" s="207"/>
      <c r="G44" s="208"/>
      <c r="H44" s="198"/>
      <c r="I44" s="209"/>
      <c r="J44" s="210"/>
      <c r="K44" s="201"/>
      <c r="L44" s="220">
        <f t="shared" si="5"/>
        <v>590.1</v>
      </c>
      <c r="M44" s="220">
        <f t="shared" si="6"/>
        <v>0</v>
      </c>
      <c r="N44" s="220"/>
      <c r="O44" s="1"/>
      <c r="P44" s="1">
        <v>600</v>
      </c>
      <c r="Q44" s="1">
        <v>60</v>
      </c>
      <c r="R44" s="1"/>
      <c r="S44" s="1">
        <f t="shared" si="4"/>
        <v>660</v>
      </c>
      <c r="T44" s="1"/>
      <c r="U44" s="1"/>
      <c r="V44" s="1"/>
      <c r="W44" s="1"/>
      <c r="X44" s="1"/>
      <c r="Y44" s="1"/>
      <c r="Z44" s="203">
        <f t="shared" si="2"/>
        <v>1250.0999999999999</v>
      </c>
      <c r="AC44" s="84"/>
      <c r="AD44" s="90"/>
      <c r="AE44" s="91"/>
      <c r="AF44" s="92"/>
    </row>
    <row r="45" spans="1:32" s="154" customFormat="1" ht="15.75" thickBot="1" x14ac:dyDescent="0.3">
      <c r="A45" s="214">
        <v>5914</v>
      </c>
      <c r="B45" s="221" t="s">
        <v>54</v>
      </c>
      <c r="C45" s="216">
        <v>28</v>
      </c>
      <c r="D45" s="3">
        <v>590.1</v>
      </c>
      <c r="E45" s="213">
        <v>3815</v>
      </c>
      <c r="F45" s="217"/>
      <c r="G45" s="218"/>
      <c r="H45" s="211">
        <v>590.1</v>
      </c>
      <c r="I45" s="212">
        <v>3815</v>
      </c>
      <c r="J45" s="203"/>
      <c r="K45" s="219"/>
      <c r="L45" s="220">
        <f t="shared" si="5"/>
        <v>0</v>
      </c>
      <c r="M45" s="220">
        <f t="shared" si="6"/>
        <v>0</v>
      </c>
      <c r="N45" s="220"/>
      <c r="O45" s="80"/>
      <c r="P45" s="80"/>
      <c r="Q45" s="80"/>
      <c r="R45" s="80"/>
      <c r="S45" s="1">
        <f t="shared" si="4"/>
        <v>0</v>
      </c>
      <c r="T45" s="80"/>
      <c r="U45" s="80"/>
      <c r="V45" s="80"/>
      <c r="W45" s="80"/>
      <c r="X45" s="80"/>
      <c r="Y45" s="80"/>
      <c r="Z45" s="203">
        <f t="shared" si="2"/>
        <v>0</v>
      </c>
      <c r="AB45"/>
      <c r="AC45" s="84"/>
      <c r="AD45" s="90"/>
      <c r="AE45" s="91"/>
      <c r="AF45" s="92"/>
    </row>
    <row r="46" spans="1:32" s="154" customFormat="1" ht="15.75" thickBot="1" x14ac:dyDescent="0.3">
      <c r="A46" s="214">
        <v>5523</v>
      </c>
      <c r="B46" s="221" t="s">
        <v>55</v>
      </c>
      <c r="C46" s="216">
        <v>42</v>
      </c>
      <c r="D46" s="3">
        <v>2478.42</v>
      </c>
      <c r="E46" s="213">
        <v>400</v>
      </c>
      <c r="F46" s="217" t="s">
        <v>680</v>
      </c>
      <c r="G46" s="218"/>
      <c r="H46" s="211">
        <v>525</v>
      </c>
      <c r="I46" s="212"/>
      <c r="J46" s="203"/>
      <c r="K46" s="219"/>
      <c r="L46" s="220">
        <f t="shared" si="5"/>
        <v>1953.42</v>
      </c>
      <c r="M46" s="220">
        <f t="shared" si="6"/>
        <v>400</v>
      </c>
      <c r="N46" s="220"/>
      <c r="O46" s="80"/>
      <c r="P46" s="80"/>
      <c r="Q46" s="80">
        <v>260</v>
      </c>
      <c r="R46" s="80"/>
      <c r="S46" s="1">
        <f t="shared" si="4"/>
        <v>260</v>
      </c>
      <c r="T46" s="80"/>
      <c r="U46" s="80"/>
      <c r="V46" s="80"/>
      <c r="W46" s="80"/>
      <c r="X46" s="80"/>
      <c r="Y46" s="80"/>
      <c r="Z46" s="203">
        <f t="shared" si="2"/>
        <v>2613.42</v>
      </c>
      <c r="AB46"/>
      <c r="AC46" s="84"/>
      <c r="AD46" s="90"/>
      <c r="AE46" s="91"/>
      <c r="AF46" s="92"/>
    </row>
    <row r="47" spans="1:32" s="154" customFormat="1" ht="15.75" thickBot="1" x14ac:dyDescent="0.3">
      <c r="A47" s="214">
        <v>5518</v>
      </c>
      <c r="B47" s="221" t="s">
        <v>56</v>
      </c>
      <c r="C47" s="216">
        <v>59</v>
      </c>
      <c r="D47" s="3">
        <v>2655.45</v>
      </c>
      <c r="E47" s="213">
        <v>2092.2199999999998</v>
      </c>
      <c r="F47" s="217"/>
      <c r="G47" s="218"/>
      <c r="H47" s="211">
        <v>452.34</v>
      </c>
      <c r="I47" s="212">
        <v>808.34</v>
      </c>
      <c r="J47" s="203"/>
      <c r="K47" s="219"/>
      <c r="L47" s="220">
        <f t="shared" si="5"/>
        <v>2203.1099999999997</v>
      </c>
      <c r="M47" s="220">
        <f t="shared" si="6"/>
        <v>1283.8799999999997</v>
      </c>
      <c r="N47" s="220"/>
      <c r="O47" s="80"/>
      <c r="P47" s="80"/>
      <c r="Q47" s="80"/>
      <c r="R47" s="80"/>
      <c r="S47" s="1">
        <f t="shared" si="4"/>
        <v>0</v>
      </c>
      <c r="T47" s="80"/>
      <c r="U47" s="80"/>
      <c r="V47" s="80"/>
      <c r="W47" s="80"/>
      <c r="X47" s="80"/>
      <c r="Y47" s="80"/>
      <c r="Z47" s="203">
        <f t="shared" si="2"/>
        <v>3486.9899999999993</v>
      </c>
      <c r="AB47"/>
      <c r="AC47" s="84"/>
      <c r="AD47" s="90"/>
      <c r="AE47" s="91"/>
      <c r="AF47" s="92"/>
    </row>
    <row r="48" spans="1:32" ht="15.75" thickBot="1" x14ac:dyDescent="0.3">
      <c r="A48" s="204">
        <v>5520</v>
      </c>
      <c r="B48" s="205" t="s">
        <v>57</v>
      </c>
      <c r="C48" s="194">
        <v>22</v>
      </c>
      <c r="D48" s="3">
        <v>708.12</v>
      </c>
      <c r="E48" s="206"/>
      <c r="F48" s="207"/>
      <c r="G48" s="208"/>
      <c r="H48" s="198"/>
      <c r="I48" s="209"/>
      <c r="J48" s="210"/>
      <c r="K48" s="201"/>
      <c r="L48" s="202">
        <f t="shared" si="5"/>
        <v>708.12</v>
      </c>
      <c r="M48" s="202">
        <f t="shared" si="6"/>
        <v>0</v>
      </c>
      <c r="N48" s="202"/>
      <c r="O48" s="1"/>
      <c r="P48" s="1">
        <v>100</v>
      </c>
      <c r="Q48" s="1">
        <v>110</v>
      </c>
      <c r="R48" s="1"/>
      <c r="S48" s="1">
        <f t="shared" si="4"/>
        <v>210</v>
      </c>
      <c r="T48" s="1"/>
      <c r="U48" s="1"/>
      <c r="V48" s="1"/>
      <c r="W48" s="1"/>
      <c r="X48" s="1"/>
      <c r="Y48" s="1"/>
      <c r="Z48" s="203">
        <f t="shared" si="2"/>
        <v>918.12</v>
      </c>
      <c r="AC48" s="84"/>
      <c r="AD48" s="90"/>
      <c r="AE48" s="91"/>
      <c r="AF48" s="92"/>
    </row>
    <row r="49" spans="1:32" ht="15.75" thickBot="1" x14ac:dyDescent="0.3">
      <c r="A49" s="204">
        <v>5521</v>
      </c>
      <c r="B49" s="205" t="s">
        <v>58</v>
      </c>
      <c r="C49" s="194">
        <v>157</v>
      </c>
      <c r="D49" s="3">
        <v>9146.5499999999993</v>
      </c>
      <c r="E49" s="206"/>
      <c r="F49" s="207" t="s">
        <v>680</v>
      </c>
      <c r="G49" s="208"/>
      <c r="H49" s="198"/>
      <c r="I49" s="209"/>
      <c r="J49" s="210"/>
      <c r="K49" s="201"/>
      <c r="L49" s="202">
        <f t="shared" si="5"/>
        <v>9146.5499999999993</v>
      </c>
      <c r="M49" s="202">
        <f t="shared" si="6"/>
        <v>0</v>
      </c>
      <c r="N49" s="202"/>
      <c r="O49" s="1"/>
      <c r="P49" s="1"/>
      <c r="Q49" s="1"/>
      <c r="R49" s="1"/>
      <c r="S49" s="1">
        <f t="shared" si="4"/>
        <v>0</v>
      </c>
      <c r="T49" s="1"/>
      <c r="U49" s="1"/>
      <c r="V49" s="1"/>
      <c r="W49" s="1"/>
      <c r="X49" s="1"/>
      <c r="Y49" s="1"/>
      <c r="Z49" s="203">
        <f t="shared" si="2"/>
        <v>9146.5499999999993</v>
      </c>
      <c r="AC49" s="84"/>
      <c r="AD49" s="90"/>
      <c r="AE49" s="91"/>
      <c r="AF49" s="92"/>
    </row>
    <row r="50" spans="1:32" s="154" customFormat="1" ht="15.75" thickBot="1" x14ac:dyDescent="0.3">
      <c r="A50" s="214">
        <v>5915</v>
      </c>
      <c r="B50" s="221" t="s">
        <v>59</v>
      </c>
      <c r="C50" s="216">
        <v>38</v>
      </c>
      <c r="D50" s="3">
        <v>2124.36</v>
      </c>
      <c r="E50" s="213">
        <v>1130</v>
      </c>
      <c r="F50" s="217"/>
      <c r="G50" s="218"/>
      <c r="H50" s="211">
        <v>373.74</v>
      </c>
      <c r="I50" s="212">
        <v>270</v>
      </c>
      <c r="J50" s="203"/>
      <c r="K50" s="219"/>
      <c r="L50" s="220">
        <f t="shared" si="5"/>
        <v>1750.6200000000001</v>
      </c>
      <c r="M50" s="220">
        <f t="shared" si="6"/>
        <v>860</v>
      </c>
      <c r="N50" s="220"/>
      <c r="O50" s="80"/>
      <c r="P50" s="80">
        <v>-0.44</v>
      </c>
      <c r="Q50" s="80">
        <v>5</v>
      </c>
      <c r="R50" s="80"/>
      <c r="S50" s="1">
        <f t="shared" si="4"/>
        <v>4.5599999999999996</v>
      </c>
      <c r="T50" s="80"/>
      <c r="U50" s="80"/>
      <c r="V50" s="80"/>
      <c r="W50" s="80"/>
      <c r="X50" s="80"/>
      <c r="Y50" s="80"/>
      <c r="Z50" s="203">
        <f t="shared" si="2"/>
        <v>2615.1799999999998</v>
      </c>
      <c r="AB50"/>
      <c r="AC50" s="84"/>
      <c r="AD50" s="90"/>
      <c r="AE50" s="91"/>
      <c r="AF50" s="92"/>
    </row>
    <row r="51" spans="1:32" s="154" customFormat="1" ht="15.75" thickBot="1" x14ac:dyDescent="0.3">
      <c r="A51" s="214">
        <v>5524</v>
      </c>
      <c r="B51" s="221" t="s">
        <v>60</v>
      </c>
      <c r="C51" s="216">
        <v>79</v>
      </c>
      <c r="D51" s="3">
        <v>4661.79</v>
      </c>
      <c r="E51" s="213">
        <v>5610</v>
      </c>
      <c r="F51" s="217"/>
      <c r="G51" s="218"/>
      <c r="H51" s="211">
        <v>778</v>
      </c>
      <c r="I51" s="212"/>
      <c r="J51" s="203"/>
      <c r="K51" s="219"/>
      <c r="L51" s="220">
        <f t="shared" si="5"/>
        <v>3883.79</v>
      </c>
      <c r="M51" s="220">
        <f t="shared" si="6"/>
        <v>5610</v>
      </c>
      <c r="N51" s="220"/>
      <c r="O51" s="80"/>
      <c r="P51" s="80">
        <v>98</v>
      </c>
      <c r="Q51" s="80">
        <v>1</v>
      </c>
      <c r="R51" s="80"/>
      <c r="S51" s="1">
        <f t="shared" si="4"/>
        <v>99</v>
      </c>
      <c r="T51" s="80"/>
      <c r="U51" s="80"/>
      <c r="V51" s="80"/>
      <c r="W51" s="80"/>
      <c r="X51" s="80"/>
      <c r="Y51" s="80"/>
      <c r="Z51" s="203">
        <f t="shared" si="2"/>
        <v>9592.7900000000009</v>
      </c>
      <c r="AB51"/>
      <c r="AC51" s="84"/>
      <c r="AD51" s="90"/>
      <c r="AE51" s="91"/>
      <c r="AF51" s="92"/>
    </row>
    <row r="52" spans="1:32" ht="15.75" thickBot="1" x14ac:dyDescent="0.3">
      <c r="A52" s="204">
        <v>5504</v>
      </c>
      <c r="B52" s="205" t="s">
        <v>654</v>
      </c>
      <c r="C52" s="194">
        <v>31</v>
      </c>
      <c r="D52" s="3">
        <v>1829.31</v>
      </c>
      <c r="E52" s="206">
        <v>500</v>
      </c>
      <c r="F52" s="207"/>
      <c r="G52" s="208"/>
      <c r="H52" s="198"/>
      <c r="I52" s="209"/>
      <c r="J52" s="210"/>
      <c r="K52" s="201"/>
      <c r="L52" s="202">
        <f t="shared" si="5"/>
        <v>1829.31</v>
      </c>
      <c r="M52" s="202">
        <f t="shared" si="6"/>
        <v>500</v>
      </c>
      <c r="N52" s="202"/>
      <c r="O52" s="1"/>
      <c r="P52" s="1">
        <v>1400</v>
      </c>
      <c r="Q52" s="1"/>
      <c r="R52" s="1"/>
      <c r="S52" s="1">
        <f t="shared" si="4"/>
        <v>1400</v>
      </c>
      <c r="T52" s="1"/>
      <c r="U52" s="1"/>
      <c r="V52" s="1"/>
      <c r="W52" s="1"/>
      <c r="X52" s="1"/>
      <c r="Y52" s="1"/>
      <c r="Z52" s="203">
        <f t="shared" si="2"/>
        <v>3729.31</v>
      </c>
      <c r="AC52" s="84"/>
      <c r="AD52" s="90"/>
      <c r="AE52" s="91"/>
      <c r="AF52" s="92"/>
    </row>
    <row r="53" spans="1:32" s="154" customFormat="1" ht="15.75" thickBot="1" x14ac:dyDescent="0.3">
      <c r="A53" s="214">
        <v>5525</v>
      </c>
      <c r="B53" s="221" t="s">
        <v>61</v>
      </c>
      <c r="C53" s="216">
        <v>66</v>
      </c>
      <c r="D53" s="3">
        <v>3894.66</v>
      </c>
      <c r="E53" s="213">
        <v>760</v>
      </c>
      <c r="F53" s="217"/>
      <c r="G53" s="218"/>
      <c r="H53" s="211"/>
      <c r="I53" s="212"/>
      <c r="J53" s="203"/>
      <c r="K53" s="219"/>
      <c r="L53" s="220">
        <f t="shared" si="5"/>
        <v>3894.66</v>
      </c>
      <c r="M53" s="220">
        <f t="shared" si="6"/>
        <v>760</v>
      </c>
      <c r="N53" s="220"/>
      <c r="O53" s="80"/>
      <c r="P53" s="80">
        <v>1300</v>
      </c>
      <c r="Q53" s="80">
        <v>660</v>
      </c>
      <c r="R53" s="80"/>
      <c r="S53" s="1">
        <f t="shared" si="4"/>
        <v>1960</v>
      </c>
      <c r="T53" s="80"/>
      <c r="U53" s="80"/>
      <c r="V53" s="80"/>
      <c r="W53" s="80"/>
      <c r="X53" s="80"/>
      <c r="Y53" s="80"/>
      <c r="Z53" s="203">
        <f t="shared" si="2"/>
        <v>6614.66</v>
      </c>
      <c r="AB53"/>
      <c r="AC53" s="84"/>
      <c r="AD53" s="90"/>
      <c r="AE53" s="91"/>
      <c r="AF53" s="92"/>
    </row>
    <row r="54" spans="1:32" ht="15.75" thickBot="1" x14ac:dyDescent="0.3">
      <c r="A54" s="204">
        <v>5916</v>
      </c>
      <c r="B54" s="205" t="s">
        <v>62</v>
      </c>
      <c r="C54" s="194">
        <v>132</v>
      </c>
      <c r="D54" s="3">
        <v>6550.11</v>
      </c>
      <c r="E54" s="206">
        <v>7030</v>
      </c>
      <c r="F54" s="207"/>
      <c r="G54" s="208"/>
      <c r="H54" s="198"/>
      <c r="I54" s="209"/>
      <c r="J54" s="210"/>
      <c r="K54" s="201"/>
      <c r="L54" s="202">
        <f t="shared" si="5"/>
        <v>6550.11</v>
      </c>
      <c r="M54" s="202">
        <f t="shared" si="6"/>
        <v>7030</v>
      </c>
      <c r="N54" s="202"/>
      <c r="O54" s="1"/>
      <c r="P54" s="1">
        <v>100</v>
      </c>
      <c r="Q54" s="1">
        <v>5</v>
      </c>
      <c r="R54" s="1"/>
      <c r="S54" s="1">
        <f t="shared" si="4"/>
        <v>105</v>
      </c>
      <c r="T54" s="1"/>
      <c r="U54" s="1"/>
      <c r="V54" s="1"/>
      <c r="W54" s="1"/>
      <c r="X54" s="1"/>
      <c r="Y54" s="1"/>
      <c r="Z54" s="203">
        <f t="shared" si="2"/>
        <v>13685.11</v>
      </c>
      <c r="AC54" s="84"/>
      <c r="AD54" s="90"/>
      <c r="AE54" s="91"/>
      <c r="AF54" s="92"/>
    </row>
    <row r="55" spans="1:32" s="154" customFormat="1" ht="15.75" thickBot="1" x14ac:dyDescent="0.3">
      <c r="A55" s="214"/>
      <c r="B55" s="221" t="s">
        <v>432</v>
      </c>
      <c r="C55" s="216">
        <v>22</v>
      </c>
      <c r="D55" s="3">
        <v>1239.21</v>
      </c>
      <c r="E55" s="213">
        <v>1610</v>
      </c>
      <c r="F55" s="217"/>
      <c r="G55" s="218"/>
      <c r="H55" s="211">
        <v>309.95999999999998</v>
      </c>
      <c r="I55" s="212">
        <v>420</v>
      </c>
      <c r="J55" s="203"/>
      <c r="K55" s="219"/>
      <c r="L55" s="220">
        <f t="shared" si="5"/>
        <v>929.25</v>
      </c>
      <c r="M55" s="202">
        <f t="shared" si="6"/>
        <v>1190</v>
      </c>
      <c r="N55" s="220"/>
      <c r="O55" s="80"/>
      <c r="P55" s="80">
        <v>162.5</v>
      </c>
      <c r="Q55" s="80">
        <v>-162.5</v>
      </c>
      <c r="R55" s="80"/>
      <c r="S55" s="1">
        <v>-150</v>
      </c>
      <c r="T55" s="80"/>
      <c r="U55" s="80"/>
      <c r="V55" s="80"/>
      <c r="W55" s="80"/>
      <c r="X55" s="80"/>
      <c r="Y55" s="80"/>
      <c r="Z55" s="203">
        <f t="shared" si="2"/>
        <v>1969.25</v>
      </c>
      <c r="AB55"/>
      <c r="AC55" s="84"/>
      <c r="AD55" s="90"/>
      <c r="AE55" s="91"/>
      <c r="AF55" s="92"/>
    </row>
    <row r="56" spans="1:32" s="154" customFormat="1" ht="15.75" thickBot="1" x14ac:dyDescent="0.3">
      <c r="A56" s="214"/>
      <c r="B56" s="221" t="s">
        <v>433</v>
      </c>
      <c r="C56" s="216">
        <v>67</v>
      </c>
      <c r="D56" s="3">
        <v>3304.56</v>
      </c>
      <c r="E56" s="213">
        <v>1110</v>
      </c>
      <c r="F56" s="217"/>
      <c r="G56" s="218"/>
      <c r="H56" s="211"/>
      <c r="I56" s="212"/>
      <c r="J56" s="203"/>
      <c r="K56" s="219"/>
      <c r="L56" s="220">
        <f t="shared" si="5"/>
        <v>3304.56</v>
      </c>
      <c r="M56" s="202">
        <f t="shared" si="6"/>
        <v>1110</v>
      </c>
      <c r="N56" s="22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203">
        <f t="shared" si="2"/>
        <v>4414.5599999999995</v>
      </c>
      <c r="AB56"/>
      <c r="AC56" s="84"/>
      <c r="AD56" s="90"/>
      <c r="AE56" s="91"/>
      <c r="AF56" s="92"/>
    </row>
    <row r="57" spans="1:32" s="154" customFormat="1" ht="15.75" thickBot="1" x14ac:dyDescent="0.3">
      <c r="A57" s="214"/>
      <c r="B57" s="221" t="s">
        <v>595</v>
      </c>
      <c r="C57" s="216"/>
      <c r="D57" s="3"/>
      <c r="E57" s="213"/>
      <c r="F57" s="217"/>
      <c r="G57" s="218"/>
      <c r="H57" s="211"/>
      <c r="I57" s="212"/>
      <c r="J57" s="203"/>
      <c r="K57" s="219"/>
      <c r="L57" s="220"/>
      <c r="M57" s="220"/>
      <c r="N57" s="220"/>
      <c r="O57" s="80"/>
      <c r="P57" s="80"/>
      <c r="Q57" s="80"/>
      <c r="R57" s="80">
        <v>4350</v>
      </c>
      <c r="S57" s="80">
        <f>SUM(P57:R57)</f>
        <v>4350</v>
      </c>
      <c r="T57" s="80"/>
      <c r="U57" s="80"/>
      <c r="V57" s="80"/>
      <c r="W57" s="80"/>
      <c r="X57" s="80"/>
      <c r="Y57" s="80"/>
      <c r="Z57" s="203">
        <v>4350</v>
      </c>
      <c r="AA57" s="80"/>
      <c r="AB57"/>
      <c r="AC57" s="84"/>
      <c r="AD57" s="90"/>
      <c r="AE57" s="91"/>
      <c r="AF57" s="92"/>
    </row>
    <row r="58" spans="1:32" ht="15.75" thickBot="1" x14ac:dyDescent="0.3">
      <c r="A58" s="223"/>
      <c r="B58" s="224"/>
      <c r="C58" s="225"/>
      <c r="D58" s="3"/>
      <c r="E58" s="226"/>
      <c r="F58" s="207"/>
      <c r="G58" s="227"/>
      <c r="H58" s="198"/>
      <c r="I58" s="228"/>
      <c r="J58" s="229"/>
      <c r="K58" s="201"/>
      <c r="L58" s="202"/>
      <c r="M58" s="202"/>
      <c r="N58" s="202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203">
        <f t="shared" ref="Z58:Z59" si="7">L58+M58+P58+T58+U58+V58</f>
        <v>0</v>
      </c>
    </row>
    <row r="59" spans="1:32" ht="15.75" thickBot="1" x14ac:dyDescent="0.3">
      <c r="A59" s="223"/>
      <c r="B59" s="224"/>
      <c r="C59" s="225"/>
      <c r="D59" s="3"/>
      <c r="E59" s="226"/>
      <c r="F59" s="207"/>
      <c r="G59" s="227"/>
      <c r="H59" s="198"/>
      <c r="I59" s="228"/>
      <c r="J59" s="229"/>
      <c r="K59" s="201"/>
      <c r="L59" s="202"/>
      <c r="M59" s="202"/>
      <c r="N59" s="202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203">
        <f t="shared" si="7"/>
        <v>0</v>
      </c>
    </row>
    <row r="60" spans="1:32" ht="15.75" thickBot="1" x14ac:dyDescent="0.3">
      <c r="A60" s="230"/>
      <c r="B60" s="224"/>
      <c r="C60" s="225"/>
      <c r="D60" s="3"/>
      <c r="E60" s="226"/>
      <c r="F60" s="207"/>
      <c r="G60" s="227"/>
      <c r="H60" s="198"/>
      <c r="I60" s="228"/>
      <c r="J60" s="229"/>
      <c r="K60" s="201"/>
      <c r="L60" s="202"/>
      <c r="M60" s="202"/>
      <c r="N60" s="202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203">
        <f>SUM(P60:X60)</f>
        <v>0</v>
      </c>
      <c r="AA60" s="1"/>
    </row>
    <row r="61" spans="1:32" ht="15.75" thickBot="1" x14ac:dyDescent="0.3">
      <c r="A61" s="224"/>
      <c r="B61" s="224"/>
      <c r="C61" s="225"/>
      <c r="D61" s="3"/>
      <c r="E61" s="226"/>
      <c r="F61" s="207"/>
      <c r="G61" s="227"/>
      <c r="H61" s="198"/>
      <c r="I61" s="228"/>
      <c r="J61" s="229"/>
      <c r="K61" s="201"/>
      <c r="L61" s="202"/>
      <c r="M61" s="202"/>
      <c r="N61" s="202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03">
        <f>SUM(P61:P63)</f>
        <v>0</v>
      </c>
    </row>
    <row r="62" spans="1:32" ht="15.75" thickBot="1" x14ac:dyDescent="0.3">
      <c r="A62" s="224"/>
      <c r="B62" s="231"/>
      <c r="C62" s="225"/>
      <c r="D62" s="3"/>
      <c r="E62" s="226"/>
      <c r="F62" s="207"/>
      <c r="G62" s="227"/>
      <c r="H62" s="198"/>
      <c r="I62" s="228"/>
      <c r="J62" s="229"/>
      <c r="K62" s="201"/>
      <c r="L62" s="202"/>
      <c r="M62" s="202"/>
      <c r="N62" s="202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03"/>
    </row>
    <row r="63" spans="1:32" ht="15.75" thickBot="1" x14ac:dyDescent="0.3">
      <c r="A63" s="224"/>
      <c r="B63" s="231"/>
      <c r="C63" s="225"/>
      <c r="D63" s="3"/>
      <c r="E63" s="226"/>
      <c r="F63" s="207"/>
      <c r="G63" s="227"/>
      <c r="H63" s="198"/>
      <c r="I63" s="228"/>
      <c r="J63" s="229"/>
      <c r="K63" s="201"/>
      <c r="L63" s="202"/>
      <c r="M63" s="202"/>
      <c r="N63" s="202"/>
      <c r="O63" s="1"/>
      <c r="P63" s="1"/>
      <c r="Q63" s="1"/>
      <c r="R63" s="1"/>
      <c r="S63" s="1"/>
      <c r="T63" s="1"/>
      <c r="U63" s="1"/>
      <c r="W63" s="1"/>
      <c r="X63" s="1"/>
      <c r="Y63" s="1"/>
      <c r="Z63" s="203"/>
    </row>
    <row r="64" spans="1:32" ht="15.75" thickBot="1" x14ac:dyDescent="0.3">
      <c r="A64" s="223"/>
      <c r="B64" s="224"/>
      <c r="C64" s="225"/>
      <c r="D64" s="3"/>
      <c r="E64" s="226"/>
      <c r="F64" s="232"/>
      <c r="G64" s="227"/>
      <c r="H64" s="198"/>
      <c r="I64" s="228"/>
      <c r="J64" s="229"/>
      <c r="K64" s="201"/>
      <c r="L64" s="202"/>
      <c r="M64" s="202"/>
      <c r="N64" s="20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03"/>
      <c r="AA64" s="1"/>
    </row>
    <row r="65" spans="1:27" ht="15.75" thickBot="1" x14ac:dyDescent="0.3">
      <c r="A65" s="223"/>
      <c r="B65" s="224"/>
      <c r="C65" s="225"/>
      <c r="D65" s="3"/>
      <c r="E65" s="223"/>
      <c r="F65" s="233"/>
      <c r="G65" s="230"/>
      <c r="H65" s="198"/>
      <c r="I65" s="228"/>
      <c r="J65" s="229"/>
      <c r="L65" s="202"/>
      <c r="M65" s="202"/>
      <c r="N65" s="202"/>
      <c r="O65" s="1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234"/>
    </row>
    <row r="66" spans="1:27" ht="15.75" thickBot="1" x14ac:dyDescent="0.3">
      <c r="A66" s="235"/>
      <c r="B66" s="236"/>
      <c r="C66" s="237">
        <f>SUM(C6:C65)</f>
        <v>3474</v>
      </c>
      <c r="D66" s="3">
        <f>SUM(D6:D64)</f>
        <v>187651.80000000002</v>
      </c>
      <c r="E66" s="3">
        <f>SUM(E6:E64)</f>
        <v>136826.22</v>
      </c>
      <c r="F66" s="238"/>
      <c r="G66" s="239"/>
      <c r="H66" s="240">
        <f>SUM(H6:H65)</f>
        <v>17462.260000000002</v>
      </c>
      <c r="I66" s="241">
        <f>SUM(I6:I65)</f>
        <v>11657.43</v>
      </c>
      <c r="J66" s="242"/>
      <c r="K66" s="243"/>
      <c r="L66" s="244">
        <f>SUM(L6:L65)</f>
        <v>170189.53999999998</v>
      </c>
      <c r="M66" s="244">
        <f>SUM(M6:M65)</f>
        <v>125168.79000000001</v>
      </c>
      <c r="N66" s="245"/>
      <c r="O66" s="1"/>
      <c r="P66" s="153">
        <f>SUM(P7:P65)</f>
        <v>21648.930000000004</v>
      </c>
      <c r="Q66" s="153">
        <f>SUM(Q7:Q65)</f>
        <v>20843.61</v>
      </c>
      <c r="R66" s="153">
        <f>SUM(R6:R65)</f>
        <v>4350</v>
      </c>
      <c r="S66" s="153">
        <f>SUM(S6:S64)</f>
        <v>46692.539999999994</v>
      </c>
      <c r="T66" s="153">
        <f>SUM(T7:T65)</f>
        <v>11000</v>
      </c>
      <c r="U66" s="153">
        <f>SUM(U7:U65)</f>
        <v>0</v>
      </c>
      <c r="V66" s="153">
        <f>SUM(V7:V65)</f>
        <v>0</v>
      </c>
      <c r="W66" s="246">
        <f>SUM(W6:W65)</f>
        <v>0</v>
      </c>
      <c r="X66" s="1"/>
      <c r="Y66" s="247"/>
      <c r="Z66" s="80">
        <f>SUM(Z6:Z65)</f>
        <v>331050.86999999994</v>
      </c>
    </row>
    <row r="67" spans="1:27" ht="15.75" thickBot="1" x14ac:dyDescent="0.3">
      <c r="A67" s="248"/>
      <c r="B67" s="249"/>
      <c r="C67" s="250"/>
      <c r="D67" s="49"/>
      <c r="E67" s="243"/>
      <c r="F67" s="251"/>
      <c r="G67" s="243"/>
      <c r="H67" s="252"/>
      <c r="I67" s="252"/>
      <c r="J67" s="253"/>
      <c r="K67" s="243"/>
      <c r="L67" s="253"/>
      <c r="M67" s="243"/>
      <c r="N67" s="24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80"/>
    </row>
    <row r="68" spans="1:27" ht="15.75" thickBot="1" x14ac:dyDescent="0.3">
      <c r="A68" s="248"/>
      <c r="B68" s="249"/>
      <c r="C68" s="250"/>
      <c r="D68" s="50"/>
      <c r="E68" s="243"/>
      <c r="F68" s="251"/>
      <c r="G68" s="243"/>
      <c r="H68" s="252"/>
      <c r="I68" s="252"/>
      <c r="J68" s="253"/>
      <c r="K68" s="243"/>
      <c r="L68" s="254"/>
      <c r="M68" s="255"/>
      <c r="N68" s="256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80"/>
      <c r="AA68" s="257"/>
    </row>
    <row r="69" spans="1:27" ht="15.75" thickBot="1" x14ac:dyDescent="0.3">
      <c r="A69" s="248"/>
      <c r="B69" s="249"/>
      <c r="C69" s="250"/>
      <c r="D69" s="50"/>
      <c r="E69" s="243"/>
      <c r="F69" s="251"/>
      <c r="G69" s="243"/>
      <c r="H69" s="252"/>
      <c r="I69" s="252"/>
      <c r="J69" s="253"/>
      <c r="K69" s="243"/>
      <c r="L69" s="286" t="s">
        <v>13</v>
      </c>
      <c r="M69" s="287"/>
      <c r="N69" s="288"/>
      <c r="O69" s="258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80">
        <v>-295358.33</v>
      </c>
    </row>
    <row r="70" spans="1:27" x14ac:dyDescent="0.25">
      <c r="D70" s="50"/>
      <c r="L70" s="261"/>
      <c r="N70" s="262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80"/>
    </row>
    <row r="71" spans="1:27" x14ac:dyDescent="0.25">
      <c r="D71" s="50"/>
      <c r="L71" s="261" t="s">
        <v>19</v>
      </c>
      <c r="N71" s="262">
        <f>L66</f>
        <v>170189.53999999998</v>
      </c>
      <c r="O71" s="1"/>
      <c r="P71" s="1"/>
      <c r="Q71" s="1"/>
      <c r="R71" s="1"/>
      <c r="S71" s="110">
        <f>SUM(L66:M66)</f>
        <v>295358.32999999996</v>
      </c>
      <c r="T71" s="1"/>
      <c r="U71" s="1"/>
      <c r="V71" s="1"/>
      <c r="W71" s="1"/>
      <c r="X71" s="1"/>
      <c r="Y71" s="1"/>
      <c r="Z71" s="80"/>
      <c r="AA71" s="1"/>
    </row>
    <row r="72" spans="1:27" x14ac:dyDescent="0.25">
      <c r="D72" s="50"/>
      <c r="L72" s="261" t="s">
        <v>435</v>
      </c>
      <c r="N72" s="262">
        <f>M66</f>
        <v>125168.79000000001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67">
        <f>SUM(Z66:Z70)</f>
        <v>35692.539999999921</v>
      </c>
    </row>
    <row r="73" spans="1:27" x14ac:dyDescent="0.25">
      <c r="D73" s="50"/>
      <c r="L73" s="261"/>
      <c r="N73" s="263"/>
      <c r="Z73" s="80"/>
    </row>
    <row r="74" spans="1:27" x14ac:dyDescent="0.25">
      <c r="L74" s="261"/>
      <c r="N74" s="262">
        <f>SUM(N71:N73)</f>
        <v>295358.32999999996</v>
      </c>
      <c r="Z74" s="80"/>
    </row>
    <row r="75" spans="1:27" x14ac:dyDescent="0.25">
      <c r="L75" s="261"/>
      <c r="N75" s="111"/>
      <c r="Z75" s="80"/>
    </row>
    <row r="76" spans="1:27" x14ac:dyDescent="0.25">
      <c r="L76" s="261"/>
      <c r="N76" s="262"/>
    </row>
    <row r="77" spans="1:27" x14ac:dyDescent="0.25">
      <c r="L77" s="261"/>
      <c r="N77" s="262">
        <f>W68</f>
        <v>0</v>
      </c>
    </row>
    <row r="78" spans="1:27" x14ac:dyDescent="0.25">
      <c r="L78" s="261"/>
      <c r="N78" s="111"/>
    </row>
    <row r="79" spans="1:27" x14ac:dyDescent="0.25">
      <c r="D79" s="264"/>
      <c r="L79" s="261"/>
      <c r="M79" s="1"/>
      <c r="N79" s="262">
        <f>SUM(N74:N77)</f>
        <v>295358.32999999996</v>
      </c>
    </row>
    <row r="80" spans="1:27" x14ac:dyDescent="0.25">
      <c r="L80" s="261"/>
      <c r="M80" s="1"/>
    </row>
    <row r="81" spans="12:14" x14ac:dyDescent="0.25">
      <c r="L81" s="261"/>
      <c r="M81" s="1"/>
      <c r="N81" s="262"/>
    </row>
    <row r="82" spans="12:14" x14ac:dyDescent="0.25">
      <c r="L82" s="261"/>
      <c r="M82" s="1"/>
      <c r="N82" s="262"/>
    </row>
    <row r="83" spans="12:14" ht="15.75" thickBot="1" x14ac:dyDescent="0.3">
      <c r="L83" s="265"/>
      <c r="M83" s="153"/>
      <c r="N83" s="266"/>
    </row>
    <row r="84" spans="12:14" x14ac:dyDescent="0.25">
      <c r="M84" s="1"/>
      <c r="N84" s="1"/>
    </row>
    <row r="85" spans="12:14" x14ac:dyDescent="0.25">
      <c r="M85" s="1"/>
      <c r="N85" s="1"/>
    </row>
    <row r="86" spans="12:14" x14ac:dyDescent="0.25">
      <c r="M86" s="1"/>
      <c r="N86" s="1"/>
    </row>
    <row r="87" spans="12:14" x14ac:dyDescent="0.25">
      <c r="M87" s="1"/>
      <c r="N87" s="1"/>
    </row>
    <row r="88" spans="12:14" x14ac:dyDescent="0.25">
      <c r="M88" s="1"/>
      <c r="N88" s="1"/>
    </row>
    <row r="89" spans="12:14" x14ac:dyDescent="0.25">
      <c r="M89" s="1"/>
      <c r="N89" s="1"/>
    </row>
    <row r="90" spans="12:14" x14ac:dyDescent="0.25">
      <c r="M90" s="1"/>
      <c r="N90" s="1"/>
    </row>
    <row r="91" spans="12:14" x14ac:dyDescent="0.25">
      <c r="M91" s="1"/>
      <c r="N91" s="1"/>
    </row>
  </sheetData>
  <mergeCells count="8">
    <mergeCell ref="L69:N69"/>
    <mergeCell ref="T3:V3"/>
    <mergeCell ref="H4:H5"/>
    <mergeCell ref="L4:L5"/>
    <mergeCell ref="B1:C1"/>
    <mergeCell ref="H3:J3"/>
    <mergeCell ref="L3:N3"/>
    <mergeCell ref="P3:S3"/>
  </mergeCells>
  <printOptions gridLines="1"/>
  <pageMargins left="0.7" right="0.7" top="0.75" bottom="0.75" header="0.3" footer="0.3"/>
  <pageSetup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B0E31-1908-4F0F-83CE-02FEB49C7493}">
  <dimension ref="A1:C132"/>
  <sheetViews>
    <sheetView workbookViewId="0">
      <pane ySplit="6" topLeftCell="A7" activePane="bottomLeft" state="frozen"/>
      <selection pane="bottomLeft" sqref="A1:C1"/>
    </sheetView>
  </sheetViews>
  <sheetFormatPr defaultColWidth="8.85546875" defaultRowHeight="15" x14ac:dyDescent="0.25"/>
  <cols>
    <col min="1" max="1" width="55" customWidth="1"/>
    <col min="2" max="3" width="12" customWidth="1"/>
  </cols>
  <sheetData>
    <row r="1" spans="1:3" ht="18" x14ac:dyDescent="0.25">
      <c r="A1" s="268" t="s">
        <v>63</v>
      </c>
      <c r="B1" s="269"/>
      <c r="C1" s="269"/>
    </row>
    <row r="2" spans="1:3" ht="18" x14ac:dyDescent="0.25">
      <c r="A2" s="268" t="s">
        <v>415</v>
      </c>
      <c r="B2" s="269"/>
      <c r="C2" s="269"/>
    </row>
    <row r="3" spans="1:3" x14ac:dyDescent="0.25">
      <c r="A3" s="270" t="s">
        <v>708</v>
      </c>
      <c r="B3" s="269"/>
      <c r="C3" s="269"/>
    </row>
    <row r="5" spans="1:3" x14ac:dyDescent="0.25">
      <c r="A5" s="11"/>
      <c r="B5" s="271" t="s">
        <v>386</v>
      </c>
      <c r="C5" s="272"/>
    </row>
    <row r="6" spans="1:3" ht="24.75" x14ac:dyDescent="0.25">
      <c r="A6" s="11"/>
      <c r="B6" s="137" t="s">
        <v>709</v>
      </c>
      <c r="C6" s="137" t="s">
        <v>710</v>
      </c>
    </row>
    <row r="7" spans="1:3" x14ac:dyDescent="0.25">
      <c r="A7" s="138" t="s">
        <v>94</v>
      </c>
      <c r="B7" s="139"/>
      <c r="C7" s="139"/>
    </row>
    <row r="8" spans="1:3" x14ac:dyDescent="0.25">
      <c r="A8" s="138" t="s">
        <v>104</v>
      </c>
      <c r="B8" s="139"/>
      <c r="C8" s="139"/>
    </row>
    <row r="9" spans="1:3" x14ac:dyDescent="0.25">
      <c r="A9" s="138" t="s">
        <v>105</v>
      </c>
      <c r="B9" s="139"/>
      <c r="C9" s="139"/>
    </row>
    <row r="10" spans="1:3" x14ac:dyDescent="0.25">
      <c r="A10" s="138" t="s">
        <v>424</v>
      </c>
      <c r="B10" s="140">
        <f>78716.39</f>
        <v>78716.39</v>
      </c>
      <c r="C10" s="140">
        <f>91208.03</f>
        <v>91208.03</v>
      </c>
    </row>
    <row r="11" spans="1:3" x14ac:dyDescent="0.25">
      <c r="A11" s="138" t="s">
        <v>454</v>
      </c>
      <c r="B11" s="140">
        <f>0</f>
        <v>0</v>
      </c>
      <c r="C11" s="140">
        <f>0</f>
        <v>0</v>
      </c>
    </row>
    <row r="12" spans="1:3" x14ac:dyDescent="0.25">
      <c r="A12" s="138" t="s">
        <v>106</v>
      </c>
      <c r="B12" s="140">
        <f>27832.16</f>
        <v>27832.16</v>
      </c>
      <c r="C12" s="140">
        <f>77821.59</f>
        <v>77821.59</v>
      </c>
    </row>
    <row r="13" spans="1:3" x14ac:dyDescent="0.25">
      <c r="A13" s="138" t="s">
        <v>107</v>
      </c>
      <c r="B13" s="140">
        <f>0</f>
        <v>0</v>
      </c>
      <c r="C13" s="140">
        <f>0</f>
        <v>0</v>
      </c>
    </row>
    <row r="14" spans="1:3" x14ac:dyDescent="0.25">
      <c r="A14" s="138" t="s">
        <v>425</v>
      </c>
      <c r="B14" s="140">
        <f>52709.46</f>
        <v>52709.46</v>
      </c>
      <c r="C14" s="140">
        <f>40470.32</f>
        <v>40470.32</v>
      </c>
    </row>
    <row r="15" spans="1:3" x14ac:dyDescent="0.25">
      <c r="A15" s="138" t="s">
        <v>426</v>
      </c>
      <c r="B15" s="140">
        <f>55149.64</f>
        <v>55149.64</v>
      </c>
      <c r="C15" s="140">
        <f>109135.61</f>
        <v>109135.61</v>
      </c>
    </row>
    <row r="16" spans="1:3" x14ac:dyDescent="0.25">
      <c r="A16" s="138" t="s">
        <v>455</v>
      </c>
      <c r="B16" s="140">
        <f>0</f>
        <v>0</v>
      </c>
      <c r="C16" s="140">
        <f>0</f>
        <v>0</v>
      </c>
    </row>
    <row r="17" spans="1:3" x14ac:dyDescent="0.25">
      <c r="A17" s="138" t="s">
        <v>456</v>
      </c>
      <c r="B17" s="140">
        <f>0</f>
        <v>0</v>
      </c>
      <c r="C17" s="140">
        <f>0</f>
        <v>0</v>
      </c>
    </row>
    <row r="18" spans="1:3" x14ac:dyDescent="0.25">
      <c r="A18" s="138" t="s">
        <v>457</v>
      </c>
      <c r="B18" s="140">
        <f>0</f>
        <v>0</v>
      </c>
      <c r="C18" s="140">
        <f>0</f>
        <v>0</v>
      </c>
    </row>
    <row r="19" spans="1:3" x14ac:dyDescent="0.25">
      <c r="A19" s="138" t="s">
        <v>108</v>
      </c>
      <c r="B19" s="139"/>
      <c r="C19" s="139"/>
    </row>
    <row r="20" spans="1:3" x14ac:dyDescent="0.25">
      <c r="A20" s="138" t="s">
        <v>109</v>
      </c>
      <c r="B20" s="140">
        <f>555.69</f>
        <v>555.69000000000005</v>
      </c>
      <c r="C20" s="140">
        <f>0</f>
        <v>0</v>
      </c>
    </row>
    <row r="21" spans="1:3" x14ac:dyDescent="0.25">
      <c r="A21" s="138" t="s">
        <v>110</v>
      </c>
      <c r="B21" s="141">
        <f>(B19)+(B20)</f>
        <v>555.69000000000005</v>
      </c>
      <c r="C21" s="141">
        <f>(C19)+(C20)</f>
        <v>0</v>
      </c>
    </row>
    <row r="22" spans="1:3" x14ac:dyDescent="0.25">
      <c r="A22" s="138" t="s">
        <v>111</v>
      </c>
      <c r="B22" s="141">
        <f>(((((((((B10)+(B11))+(B12))+(B13))+(B14))+(B15))+(B16))+(B17))+(B18))+(B21)</f>
        <v>214963.34000000003</v>
      </c>
      <c r="C22" s="141">
        <f>(((((((((C10)+(C11))+(C12))+(C13))+(C14))+(C15))+(C16))+(C17))+(C18))+(C21)</f>
        <v>318635.55</v>
      </c>
    </row>
    <row r="23" spans="1:3" x14ac:dyDescent="0.25">
      <c r="A23" s="138" t="s">
        <v>112</v>
      </c>
      <c r="B23" s="139"/>
      <c r="C23" s="139"/>
    </row>
    <row r="24" spans="1:3" x14ac:dyDescent="0.25">
      <c r="A24" s="138" t="s">
        <v>113</v>
      </c>
      <c r="B24" s="140">
        <f>331050.87</f>
        <v>331050.87</v>
      </c>
      <c r="C24" s="140">
        <f>308294.48</f>
        <v>308294.48</v>
      </c>
    </row>
    <row r="25" spans="1:3" x14ac:dyDescent="0.25">
      <c r="A25" s="138" t="s">
        <v>114</v>
      </c>
      <c r="B25" s="140">
        <f>-295358.33</f>
        <v>-295358.33</v>
      </c>
      <c r="C25" s="140">
        <v>-296908.5</v>
      </c>
    </row>
    <row r="26" spans="1:3" x14ac:dyDescent="0.25">
      <c r="A26" s="138" t="s">
        <v>115</v>
      </c>
      <c r="B26" s="141">
        <f>(B24)+(B25)</f>
        <v>35692.539999999979</v>
      </c>
      <c r="C26" s="141">
        <f>(C24)+(C25)</f>
        <v>11385.979999999981</v>
      </c>
    </row>
    <row r="27" spans="1:3" x14ac:dyDescent="0.25">
      <c r="A27" s="138" t="s">
        <v>116</v>
      </c>
      <c r="B27" s="139"/>
      <c r="C27" s="139"/>
    </row>
    <row r="28" spans="1:3" x14ac:dyDescent="0.25">
      <c r="A28" s="138" t="s">
        <v>117</v>
      </c>
      <c r="B28" s="140">
        <f>0</f>
        <v>0</v>
      </c>
      <c r="C28" s="140">
        <f>13351.74</f>
        <v>13351.74</v>
      </c>
    </row>
    <row r="29" spans="1:3" x14ac:dyDescent="0.25">
      <c r="A29" s="138" t="s">
        <v>572</v>
      </c>
      <c r="B29" s="140">
        <f>0</f>
        <v>0</v>
      </c>
      <c r="C29" s="140">
        <f>0</f>
        <v>0</v>
      </c>
    </row>
    <row r="30" spans="1:3" x14ac:dyDescent="0.25">
      <c r="A30" s="138" t="s">
        <v>118</v>
      </c>
      <c r="B30" s="140">
        <f>2972.33</f>
        <v>2972.33</v>
      </c>
      <c r="C30" s="140">
        <f>2972.33</f>
        <v>2972.33</v>
      </c>
    </row>
    <row r="31" spans="1:3" x14ac:dyDescent="0.25">
      <c r="A31" s="138" t="s">
        <v>119</v>
      </c>
      <c r="B31" s="140">
        <f>0</f>
        <v>0</v>
      </c>
      <c r="C31" s="140">
        <f>0</f>
        <v>0</v>
      </c>
    </row>
    <row r="32" spans="1:3" x14ac:dyDescent="0.25">
      <c r="A32" s="138" t="s">
        <v>120</v>
      </c>
      <c r="B32" s="141">
        <f>(((B28)+(B29))+(B30))+(B31)</f>
        <v>2972.33</v>
      </c>
      <c r="C32" s="141">
        <f>(((C28)+(C29))+(C30))+(C31)</f>
        <v>16324.07</v>
      </c>
    </row>
    <row r="33" spans="1:3" x14ac:dyDescent="0.25">
      <c r="A33" s="138" t="s">
        <v>121</v>
      </c>
      <c r="B33" s="141">
        <f>((B22)+(B26))+(B32)</f>
        <v>253628.21</v>
      </c>
      <c r="C33" s="141">
        <f>((C22)+(C26))+(C32)</f>
        <v>346345.6</v>
      </c>
    </row>
    <row r="34" spans="1:3" x14ac:dyDescent="0.25">
      <c r="A34" s="138" t="s">
        <v>122</v>
      </c>
      <c r="B34" s="139"/>
      <c r="C34" s="139"/>
    </row>
    <row r="35" spans="1:3" x14ac:dyDescent="0.25">
      <c r="A35" s="138" t="s">
        <v>123</v>
      </c>
      <c r="B35" s="139"/>
      <c r="C35" s="139"/>
    </row>
    <row r="36" spans="1:3" x14ac:dyDescent="0.25">
      <c r="A36" s="138" t="s">
        <v>124</v>
      </c>
      <c r="B36" s="139"/>
      <c r="C36" s="139"/>
    </row>
    <row r="37" spans="1:3" x14ac:dyDescent="0.25">
      <c r="A37" s="138" t="s">
        <v>125</v>
      </c>
      <c r="B37" s="140">
        <f>0</f>
        <v>0</v>
      </c>
      <c r="C37" s="140">
        <f>0</f>
        <v>0</v>
      </c>
    </row>
    <row r="38" spans="1:3" x14ac:dyDescent="0.25">
      <c r="A38" s="138" t="s">
        <v>126</v>
      </c>
      <c r="B38" s="140">
        <f>0</f>
        <v>0</v>
      </c>
      <c r="C38" s="140">
        <f>0</f>
        <v>0</v>
      </c>
    </row>
    <row r="39" spans="1:3" x14ac:dyDescent="0.25">
      <c r="A39" s="138" t="s">
        <v>127</v>
      </c>
      <c r="B39" s="140">
        <f>0</f>
        <v>0</v>
      </c>
      <c r="C39" s="140">
        <f>0</f>
        <v>0</v>
      </c>
    </row>
    <row r="40" spans="1:3" x14ac:dyDescent="0.25">
      <c r="A40" s="138" t="s">
        <v>458</v>
      </c>
      <c r="B40" s="140">
        <f>0</f>
        <v>0</v>
      </c>
      <c r="C40" s="140">
        <f>0</f>
        <v>0</v>
      </c>
    </row>
    <row r="41" spans="1:3" x14ac:dyDescent="0.25">
      <c r="A41" s="138" t="s">
        <v>128</v>
      </c>
      <c r="B41" s="141">
        <f>((((B36)+(B37))+(B38))+(B39))+(B40)</f>
        <v>0</v>
      </c>
      <c r="C41" s="141">
        <f>((((C36)+(C37))+(C38))+(C39))+(C40)</f>
        <v>0</v>
      </c>
    </row>
    <row r="42" spans="1:3" x14ac:dyDescent="0.25">
      <c r="A42" s="138" t="s">
        <v>129</v>
      </c>
      <c r="B42" s="139"/>
      <c r="C42" s="139"/>
    </row>
    <row r="43" spans="1:3" x14ac:dyDescent="0.25">
      <c r="A43" s="138" t="s">
        <v>130</v>
      </c>
      <c r="B43" s="140">
        <f>0</f>
        <v>0</v>
      </c>
      <c r="C43" s="140">
        <f>0</f>
        <v>0</v>
      </c>
    </row>
    <row r="44" spans="1:3" x14ac:dyDescent="0.25">
      <c r="A44" s="138" t="s">
        <v>131</v>
      </c>
      <c r="B44" s="140">
        <f>0</f>
        <v>0</v>
      </c>
      <c r="C44" s="140">
        <f>0</f>
        <v>0</v>
      </c>
    </row>
    <row r="45" spans="1:3" x14ac:dyDescent="0.25">
      <c r="A45" s="138" t="s">
        <v>132</v>
      </c>
      <c r="B45" s="140">
        <f>0</f>
        <v>0</v>
      </c>
      <c r="C45" s="140">
        <f>0</f>
        <v>0</v>
      </c>
    </row>
    <row r="46" spans="1:3" x14ac:dyDescent="0.25">
      <c r="A46" s="138" t="s">
        <v>133</v>
      </c>
      <c r="B46" s="140">
        <f>0</f>
        <v>0</v>
      </c>
      <c r="C46" s="140">
        <f>0</f>
        <v>0</v>
      </c>
    </row>
    <row r="47" spans="1:3" x14ac:dyDescent="0.25">
      <c r="A47" s="138" t="s">
        <v>134</v>
      </c>
      <c r="B47" s="141">
        <f>((((B42)+(B43))+(B44))+(B45))+(B46)</f>
        <v>0</v>
      </c>
      <c r="C47" s="141">
        <f>((((C42)+(C43))+(C44))+(C45))+(C46)</f>
        <v>0</v>
      </c>
    </row>
    <row r="48" spans="1:3" x14ac:dyDescent="0.25">
      <c r="A48" s="138" t="s">
        <v>135</v>
      </c>
      <c r="B48" s="139"/>
      <c r="C48" s="139"/>
    </row>
    <row r="49" spans="1:3" x14ac:dyDescent="0.25">
      <c r="A49" s="138" t="s">
        <v>136</v>
      </c>
      <c r="B49" s="140">
        <f>681764.33</f>
        <v>681764.33</v>
      </c>
      <c r="C49" s="140">
        <f>681764.33</f>
        <v>681764.33</v>
      </c>
    </row>
    <row r="50" spans="1:3" x14ac:dyDescent="0.25">
      <c r="A50" s="138" t="s">
        <v>137</v>
      </c>
      <c r="B50" s="140">
        <f>889000</f>
        <v>889000</v>
      </c>
      <c r="C50" s="140">
        <f>889000</f>
        <v>889000</v>
      </c>
    </row>
    <row r="51" spans="1:3" x14ac:dyDescent="0.25">
      <c r="A51" s="138" t="s">
        <v>138</v>
      </c>
      <c r="B51" s="140">
        <f>754792.69</f>
        <v>754792.69</v>
      </c>
      <c r="C51" s="140">
        <f>754792.69</f>
        <v>754792.69</v>
      </c>
    </row>
    <row r="52" spans="1:3" x14ac:dyDescent="0.25">
      <c r="A52" s="138" t="s">
        <v>139</v>
      </c>
      <c r="B52" s="140">
        <f>31751.55</f>
        <v>31751.55</v>
      </c>
      <c r="C52" s="140">
        <f>31751.55</f>
        <v>31751.55</v>
      </c>
    </row>
    <row r="53" spans="1:3" x14ac:dyDescent="0.25">
      <c r="A53" s="138" t="s">
        <v>594</v>
      </c>
      <c r="B53" s="140">
        <f>0</f>
        <v>0</v>
      </c>
      <c r="C53" s="140">
        <f>0</f>
        <v>0</v>
      </c>
    </row>
    <row r="54" spans="1:3" x14ac:dyDescent="0.25">
      <c r="A54" s="138" t="s">
        <v>140</v>
      </c>
      <c r="B54" s="140">
        <f>54758.03</f>
        <v>54758.03</v>
      </c>
      <c r="C54" s="140">
        <f>54758.03</f>
        <v>54758.03</v>
      </c>
    </row>
    <row r="55" spans="1:3" x14ac:dyDescent="0.25">
      <c r="A55" s="138" t="s">
        <v>141</v>
      </c>
      <c r="B55" s="140">
        <f>50676.4</f>
        <v>50676.4</v>
      </c>
      <c r="C55" s="140">
        <f>50676.4</f>
        <v>50676.4</v>
      </c>
    </row>
    <row r="56" spans="1:3" x14ac:dyDescent="0.25">
      <c r="A56" s="138" t="s">
        <v>142</v>
      </c>
      <c r="B56" s="141">
        <f>((B53)+(B54))+(B55)</f>
        <v>105434.43</v>
      </c>
      <c r="C56" s="141">
        <f>((C53)+(C54))+(C55)</f>
        <v>105434.43</v>
      </c>
    </row>
    <row r="57" spans="1:3" x14ac:dyDescent="0.25">
      <c r="A57" s="138" t="s">
        <v>143</v>
      </c>
      <c r="B57" s="141">
        <f>(((((B48)+(B49))+(B50))+(B51))+(B52))+(B56)</f>
        <v>2462743</v>
      </c>
      <c r="C57" s="141">
        <f>(((((C48)+(C49))+(C50))+(C51))+(C52))+(C56)</f>
        <v>2462743</v>
      </c>
    </row>
    <row r="58" spans="1:3" x14ac:dyDescent="0.25">
      <c r="A58" s="138" t="s">
        <v>144</v>
      </c>
      <c r="B58" s="139"/>
      <c r="C58" s="139"/>
    </row>
    <row r="59" spans="1:3" x14ac:dyDescent="0.25">
      <c r="A59" s="138" t="s">
        <v>145</v>
      </c>
      <c r="B59" s="140">
        <f>-220142.84</f>
        <v>-220142.84</v>
      </c>
      <c r="C59" s="140">
        <f>-220142.84</f>
        <v>-220142.84</v>
      </c>
    </row>
    <row r="60" spans="1:3" x14ac:dyDescent="0.25">
      <c r="A60" s="138" t="s">
        <v>459</v>
      </c>
      <c r="B60" s="140">
        <f>-229209.74</f>
        <v>-229209.74</v>
      </c>
      <c r="C60" s="140">
        <f>-229209.74</f>
        <v>-229209.74</v>
      </c>
    </row>
    <row r="61" spans="1:3" x14ac:dyDescent="0.25">
      <c r="A61" s="138" t="s">
        <v>387</v>
      </c>
      <c r="B61" s="140">
        <f>-4762.74</f>
        <v>-4762.74</v>
      </c>
      <c r="C61" s="140">
        <f>-4762.74</f>
        <v>-4762.74</v>
      </c>
    </row>
    <row r="62" spans="1:3" x14ac:dyDescent="0.25">
      <c r="A62" s="138" t="s">
        <v>146</v>
      </c>
      <c r="B62" s="139"/>
      <c r="C62" s="139"/>
    </row>
    <row r="63" spans="1:3" x14ac:dyDescent="0.25">
      <c r="A63" s="138" t="s">
        <v>711</v>
      </c>
      <c r="B63" s="140">
        <f>-29335.77</f>
        <v>-29335.77</v>
      </c>
      <c r="C63" s="140">
        <f>-29335.77</f>
        <v>-29335.77</v>
      </c>
    </row>
    <row r="64" spans="1:3" x14ac:dyDescent="0.25">
      <c r="A64" s="138" t="s">
        <v>147</v>
      </c>
      <c r="B64" s="140">
        <f>-44580.23</f>
        <v>-44580.23</v>
      </c>
      <c r="C64" s="140">
        <f>-44580.23</f>
        <v>-44580.23</v>
      </c>
    </row>
    <row r="65" spans="1:3" x14ac:dyDescent="0.25">
      <c r="A65" s="138" t="s">
        <v>148</v>
      </c>
      <c r="B65" s="141">
        <f>((B62)+(B63))+(B64)</f>
        <v>-73916</v>
      </c>
      <c r="C65" s="141">
        <f>((C62)+(C63))+(C64)</f>
        <v>-73916</v>
      </c>
    </row>
    <row r="66" spans="1:3" x14ac:dyDescent="0.25">
      <c r="A66" s="138" t="s">
        <v>149</v>
      </c>
      <c r="B66" s="141">
        <f>((((B58)+(B59))+(B60))+(B61))+(B65)</f>
        <v>-528031.31999999995</v>
      </c>
      <c r="C66" s="141">
        <f>((((C58)+(C59))+(C60))+(C61))+(C65)</f>
        <v>-528031.31999999995</v>
      </c>
    </row>
    <row r="67" spans="1:3" x14ac:dyDescent="0.25">
      <c r="A67" s="138" t="s">
        <v>150</v>
      </c>
      <c r="B67" s="141">
        <f>((((B35)+(B41))+(B47))+(B57))+(B66)</f>
        <v>1934711.6800000002</v>
      </c>
      <c r="C67" s="141">
        <f>((((C35)+(C41))+(C47))+(C57))+(C66)</f>
        <v>1934711.6800000002</v>
      </c>
    </row>
    <row r="68" spans="1:3" x14ac:dyDescent="0.25">
      <c r="A68" s="138" t="s">
        <v>151</v>
      </c>
      <c r="B68" s="141">
        <f>B67</f>
        <v>1934711.6800000002</v>
      </c>
      <c r="C68" s="141">
        <f>C67</f>
        <v>1934711.6800000002</v>
      </c>
    </row>
    <row r="69" spans="1:3" x14ac:dyDescent="0.25">
      <c r="A69" s="138" t="s">
        <v>152</v>
      </c>
      <c r="B69" s="139"/>
      <c r="C69" s="139"/>
    </row>
    <row r="70" spans="1:3" x14ac:dyDescent="0.25">
      <c r="A70" s="138" t="s">
        <v>153</v>
      </c>
      <c r="B70" s="139"/>
      <c r="C70" s="139"/>
    </row>
    <row r="71" spans="1:3" x14ac:dyDescent="0.25">
      <c r="A71" s="138" t="s">
        <v>460</v>
      </c>
      <c r="B71" s="140">
        <f>0</f>
        <v>0</v>
      </c>
      <c r="C71" s="140">
        <f>0</f>
        <v>0</v>
      </c>
    </row>
    <row r="72" spans="1:3" x14ac:dyDescent="0.25">
      <c r="A72" s="138" t="s">
        <v>461</v>
      </c>
      <c r="B72" s="140">
        <f>0</f>
        <v>0</v>
      </c>
      <c r="C72" s="140">
        <f>0</f>
        <v>0</v>
      </c>
    </row>
    <row r="73" spans="1:3" x14ac:dyDescent="0.25">
      <c r="A73" s="138" t="s">
        <v>462</v>
      </c>
      <c r="B73" s="140">
        <f>0</f>
        <v>0</v>
      </c>
      <c r="C73" s="140">
        <f>0</f>
        <v>0</v>
      </c>
    </row>
    <row r="74" spans="1:3" x14ac:dyDescent="0.25">
      <c r="A74" s="138" t="s">
        <v>463</v>
      </c>
      <c r="B74" s="141">
        <f>((B71)+(B72))+(B73)</f>
        <v>0</v>
      </c>
      <c r="C74" s="141">
        <f>((C71)+(C72))+(C73)</f>
        <v>0</v>
      </c>
    </row>
    <row r="75" spans="1:3" x14ac:dyDescent="0.25">
      <c r="A75" s="138" t="s">
        <v>154</v>
      </c>
      <c r="B75" s="140">
        <f>57127.93</f>
        <v>57127.93</v>
      </c>
      <c r="C75" s="140">
        <f>50137.95</f>
        <v>50137.95</v>
      </c>
    </row>
    <row r="76" spans="1:3" x14ac:dyDescent="0.25">
      <c r="A76" s="138" t="s">
        <v>155</v>
      </c>
      <c r="B76" s="140">
        <f>104433.84</f>
        <v>104433.84</v>
      </c>
      <c r="C76" s="140">
        <f>91655.76</f>
        <v>91655.76</v>
      </c>
    </row>
    <row r="77" spans="1:3" x14ac:dyDescent="0.25">
      <c r="A77" s="138" t="s">
        <v>559</v>
      </c>
      <c r="B77" s="140">
        <f>61018.87</f>
        <v>61018.87</v>
      </c>
      <c r="C77" s="140">
        <f>53552.8</f>
        <v>53552.800000000003</v>
      </c>
    </row>
    <row r="78" spans="1:3" x14ac:dyDescent="0.25">
      <c r="A78" s="138" t="s">
        <v>156</v>
      </c>
      <c r="B78" s="140">
        <f>20481.59</f>
        <v>20481.59</v>
      </c>
      <c r="C78" s="140">
        <f>20481.59</f>
        <v>20481.59</v>
      </c>
    </row>
    <row r="79" spans="1:3" x14ac:dyDescent="0.25">
      <c r="A79" s="138" t="s">
        <v>157</v>
      </c>
      <c r="B79" s="141">
        <f>(((((B70)+(B74))+(B75))+(B76))+(B77))+(B78)</f>
        <v>243062.22999999998</v>
      </c>
      <c r="C79" s="141">
        <f>(((((C70)+(C74))+(C75))+(C76))+(C77))+(C78)</f>
        <v>215828.1</v>
      </c>
    </row>
    <row r="80" spans="1:3" x14ac:dyDescent="0.25">
      <c r="A80" s="138" t="s">
        <v>566</v>
      </c>
      <c r="B80" s="140">
        <f>0</f>
        <v>0</v>
      </c>
      <c r="C80" s="140">
        <f>0</f>
        <v>0</v>
      </c>
    </row>
    <row r="81" spans="1:3" x14ac:dyDescent="0.25">
      <c r="A81" s="138" t="s">
        <v>158</v>
      </c>
      <c r="B81" s="141">
        <f>(B79)+(B80)</f>
        <v>243062.22999999998</v>
      </c>
      <c r="C81" s="141">
        <f>(C79)+(C80)</f>
        <v>215828.1</v>
      </c>
    </row>
    <row r="82" spans="1:3" x14ac:dyDescent="0.25">
      <c r="A82" s="138" t="s">
        <v>95</v>
      </c>
      <c r="B82" s="141">
        <f>((B33)+(B68))+(B81)</f>
        <v>2431402.12</v>
      </c>
      <c r="C82" s="141">
        <f>((C33)+(C68))+(C81)</f>
        <v>2496885.3800000004</v>
      </c>
    </row>
    <row r="83" spans="1:3" x14ac:dyDescent="0.25">
      <c r="A83" s="138" t="s">
        <v>159</v>
      </c>
      <c r="B83" s="139"/>
      <c r="C83" s="139"/>
    </row>
    <row r="84" spans="1:3" x14ac:dyDescent="0.25">
      <c r="A84" s="138" t="s">
        <v>160</v>
      </c>
      <c r="B84" s="139"/>
      <c r="C84" s="139"/>
    </row>
    <row r="85" spans="1:3" x14ac:dyDescent="0.25">
      <c r="A85" s="138" t="s">
        <v>161</v>
      </c>
      <c r="B85" s="139"/>
      <c r="C85" s="139"/>
    </row>
    <row r="86" spans="1:3" x14ac:dyDescent="0.25">
      <c r="A86" s="138" t="s">
        <v>162</v>
      </c>
      <c r="B86" s="139"/>
      <c r="C86" s="139"/>
    </row>
    <row r="87" spans="1:3" x14ac:dyDescent="0.25">
      <c r="A87" s="138" t="s">
        <v>163</v>
      </c>
      <c r="B87" s="140">
        <f>8505.04</f>
        <v>8505.0400000000009</v>
      </c>
      <c r="C87" s="140">
        <f>46782.88</f>
        <v>46782.879999999997</v>
      </c>
    </row>
    <row r="88" spans="1:3" x14ac:dyDescent="0.25">
      <c r="A88" s="138" t="s">
        <v>164</v>
      </c>
      <c r="B88" s="141">
        <f>B87</f>
        <v>8505.0400000000009</v>
      </c>
      <c r="C88" s="141">
        <f>C87</f>
        <v>46782.879999999997</v>
      </c>
    </row>
    <row r="89" spans="1:3" x14ac:dyDescent="0.25">
      <c r="A89" s="138" t="s">
        <v>165</v>
      </c>
      <c r="B89" s="139"/>
      <c r="C89" s="139"/>
    </row>
    <row r="90" spans="1:3" x14ac:dyDescent="0.25">
      <c r="A90" s="138" t="s">
        <v>418</v>
      </c>
      <c r="B90" s="139"/>
      <c r="C90" s="139"/>
    </row>
    <row r="91" spans="1:3" x14ac:dyDescent="0.25">
      <c r="A91" s="138" t="s">
        <v>464</v>
      </c>
      <c r="B91" s="140">
        <f>19.99</f>
        <v>19.989999999999998</v>
      </c>
      <c r="C91" s="140">
        <f>59.01</f>
        <v>59.01</v>
      </c>
    </row>
    <row r="92" spans="1:3" x14ac:dyDescent="0.25">
      <c r="A92" s="138" t="s">
        <v>465</v>
      </c>
      <c r="B92" s="140">
        <f>990.59</f>
        <v>990.59</v>
      </c>
      <c r="C92" s="140">
        <f>2143.34</f>
        <v>2143.34</v>
      </c>
    </row>
    <row r="93" spans="1:3" x14ac:dyDescent="0.25">
      <c r="A93" s="138" t="s">
        <v>621</v>
      </c>
      <c r="B93" s="140">
        <f>210.27</f>
        <v>210.27</v>
      </c>
      <c r="C93" s="140">
        <f>0</f>
        <v>0</v>
      </c>
    </row>
    <row r="94" spans="1:3" x14ac:dyDescent="0.25">
      <c r="A94" s="138" t="s">
        <v>712</v>
      </c>
      <c r="B94" s="140">
        <f>-65.11</f>
        <v>-65.11</v>
      </c>
      <c r="C94" s="139"/>
    </row>
    <row r="95" spans="1:3" x14ac:dyDescent="0.25">
      <c r="A95" s="138" t="s">
        <v>713</v>
      </c>
      <c r="B95" s="140">
        <f>910.06</f>
        <v>910.06</v>
      </c>
      <c r="C95" s="140">
        <f>0</f>
        <v>0</v>
      </c>
    </row>
    <row r="96" spans="1:3" x14ac:dyDescent="0.25">
      <c r="A96" s="138" t="s">
        <v>714</v>
      </c>
      <c r="B96" s="140">
        <f>2852.56</f>
        <v>2852.56</v>
      </c>
      <c r="C96" s="140">
        <f>1381.9</f>
        <v>1381.9</v>
      </c>
    </row>
    <row r="97" spans="1:3" x14ac:dyDescent="0.25">
      <c r="A97" s="138" t="s">
        <v>715</v>
      </c>
      <c r="B97" s="140">
        <f>376.51</f>
        <v>376.51</v>
      </c>
      <c r="C97" s="139"/>
    </row>
    <row r="98" spans="1:3" x14ac:dyDescent="0.25">
      <c r="A98" s="138" t="s">
        <v>419</v>
      </c>
      <c r="B98" s="141">
        <f>(((((((B90)+(B91))+(B92))+(B93))+(B94))+(B95))+(B96))+(B97)</f>
        <v>5294.8700000000008</v>
      </c>
      <c r="C98" s="141">
        <f>(((((((C90)+(C91))+(C92))+(C93))+(C94))+(C95))+(C96))+(C97)</f>
        <v>3584.2500000000005</v>
      </c>
    </row>
    <row r="99" spans="1:3" x14ac:dyDescent="0.25">
      <c r="A99" s="138" t="s">
        <v>716</v>
      </c>
      <c r="B99" s="140">
        <f>266.93</f>
        <v>266.93</v>
      </c>
      <c r="C99" s="139"/>
    </row>
    <row r="100" spans="1:3" x14ac:dyDescent="0.25">
      <c r="A100" s="138" t="s">
        <v>166</v>
      </c>
      <c r="B100" s="141">
        <f>(B98)+(B99)</f>
        <v>5561.8000000000011</v>
      </c>
      <c r="C100" s="141">
        <f>(C98)+(C99)</f>
        <v>3584.2500000000005</v>
      </c>
    </row>
    <row r="101" spans="1:3" x14ac:dyDescent="0.25">
      <c r="A101" s="138" t="s">
        <v>167</v>
      </c>
      <c r="B101" s="139"/>
      <c r="C101" s="139"/>
    </row>
    <row r="102" spans="1:3" x14ac:dyDescent="0.25">
      <c r="A102" s="138" t="s">
        <v>466</v>
      </c>
      <c r="B102" s="140">
        <f>0</f>
        <v>0</v>
      </c>
      <c r="C102" s="140">
        <f>0</f>
        <v>0</v>
      </c>
    </row>
    <row r="103" spans="1:3" x14ac:dyDescent="0.25">
      <c r="A103" s="138" t="s">
        <v>395</v>
      </c>
      <c r="B103" s="140">
        <f>0</f>
        <v>0</v>
      </c>
      <c r="C103" s="140">
        <f>7650</f>
        <v>7650</v>
      </c>
    </row>
    <row r="104" spans="1:3" x14ac:dyDescent="0.25">
      <c r="A104" s="138" t="s">
        <v>168</v>
      </c>
      <c r="B104" s="140">
        <f>0</f>
        <v>0</v>
      </c>
      <c r="C104" s="140">
        <f>0</f>
        <v>0</v>
      </c>
    </row>
    <row r="105" spans="1:3" x14ac:dyDescent="0.25">
      <c r="A105" s="138" t="s">
        <v>644</v>
      </c>
      <c r="B105" s="140">
        <f>76.2</f>
        <v>76.2</v>
      </c>
      <c r="C105" s="139"/>
    </row>
    <row r="106" spans="1:3" x14ac:dyDescent="0.25">
      <c r="A106" s="138" t="s">
        <v>560</v>
      </c>
      <c r="B106" s="140">
        <f>0</f>
        <v>0</v>
      </c>
      <c r="C106" s="140">
        <f>0</f>
        <v>0</v>
      </c>
    </row>
    <row r="107" spans="1:3" x14ac:dyDescent="0.25">
      <c r="A107" s="138" t="s">
        <v>169</v>
      </c>
      <c r="B107" s="141">
        <f>((((B102)+(B103))+(B104))+(B105))+(B106)</f>
        <v>76.2</v>
      </c>
      <c r="C107" s="141">
        <f>((((C102)+(C103))+(C104))+(C105))+(C106)</f>
        <v>7650</v>
      </c>
    </row>
    <row r="108" spans="1:3" x14ac:dyDescent="0.25">
      <c r="A108" s="138" t="s">
        <v>170</v>
      </c>
      <c r="B108" s="141">
        <f>((B88)+(B100))+(B107)</f>
        <v>14143.040000000003</v>
      </c>
      <c r="C108" s="141">
        <f>((C88)+(C100))+(C107)</f>
        <v>58017.13</v>
      </c>
    </row>
    <row r="109" spans="1:3" x14ac:dyDescent="0.25">
      <c r="A109" s="138" t="s">
        <v>171</v>
      </c>
      <c r="B109" s="141">
        <f>B108</f>
        <v>14143.040000000003</v>
      </c>
      <c r="C109" s="141">
        <f>C108</f>
        <v>58017.13</v>
      </c>
    </row>
    <row r="110" spans="1:3" x14ac:dyDescent="0.25">
      <c r="A110" s="138" t="s">
        <v>172</v>
      </c>
      <c r="B110" s="139"/>
      <c r="C110" s="139"/>
    </row>
    <row r="111" spans="1:3" x14ac:dyDescent="0.25">
      <c r="A111" s="138" t="s">
        <v>358</v>
      </c>
      <c r="B111" s="140">
        <f>0</f>
        <v>0</v>
      </c>
      <c r="C111" s="140">
        <f>0</f>
        <v>0</v>
      </c>
    </row>
    <row r="112" spans="1:3" x14ac:dyDescent="0.25">
      <c r="A112" s="138" t="s">
        <v>173</v>
      </c>
      <c r="B112" s="140">
        <f>2112178.32</f>
        <v>2112178.3199999998</v>
      </c>
      <c r="C112" s="140">
        <f>2231820.5</f>
        <v>2231820.5</v>
      </c>
    </row>
    <row r="113" spans="1:3" x14ac:dyDescent="0.25">
      <c r="A113" s="138" t="s">
        <v>174</v>
      </c>
      <c r="B113" s="140">
        <f>26546.37</f>
        <v>26546.37</v>
      </c>
      <c r="C113" s="140">
        <f>26546.37</f>
        <v>26546.37</v>
      </c>
    </row>
    <row r="114" spans="1:3" x14ac:dyDescent="0.25">
      <c r="A114" s="138" t="s">
        <v>359</v>
      </c>
      <c r="B114" s="141">
        <f>((B111)+(B112))+(B113)</f>
        <v>2138724.69</v>
      </c>
      <c r="C114" s="141">
        <f>((C111)+(C112))+(C113)</f>
        <v>2258366.87</v>
      </c>
    </row>
    <row r="115" spans="1:3" x14ac:dyDescent="0.25">
      <c r="A115" s="138" t="s">
        <v>561</v>
      </c>
      <c r="B115" s="140">
        <f>-5005.45</f>
        <v>-5005.45</v>
      </c>
      <c r="C115" s="140">
        <f>-65513.18</f>
        <v>-65513.18</v>
      </c>
    </row>
    <row r="116" spans="1:3" x14ac:dyDescent="0.25">
      <c r="A116" s="138" t="s">
        <v>360</v>
      </c>
      <c r="B116" s="139"/>
      <c r="C116" s="139"/>
    </row>
    <row r="117" spans="1:3" x14ac:dyDescent="0.25">
      <c r="A117" s="138" t="s">
        <v>361</v>
      </c>
      <c r="B117" s="140">
        <f>79758</f>
        <v>79758</v>
      </c>
      <c r="C117" s="140">
        <f>79758</f>
        <v>79758</v>
      </c>
    </row>
    <row r="118" spans="1:3" x14ac:dyDescent="0.25">
      <c r="A118" s="138" t="s">
        <v>548</v>
      </c>
      <c r="B118" s="140">
        <f>0</f>
        <v>0</v>
      </c>
      <c r="C118" s="140">
        <f>164905.85</f>
        <v>164905.85</v>
      </c>
    </row>
    <row r="119" spans="1:3" x14ac:dyDescent="0.25">
      <c r="A119" s="138" t="s">
        <v>618</v>
      </c>
      <c r="B119" s="140">
        <f>91926.04</f>
        <v>91926.04</v>
      </c>
      <c r="C119" s="139"/>
    </row>
    <row r="120" spans="1:3" x14ac:dyDescent="0.25">
      <c r="A120" s="138" t="s">
        <v>619</v>
      </c>
      <c r="B120" s="140">
        <f>73696.84</f>
        <v>73696.84</v>
      </c>
      <c r="C120" s="139"/>
    </row>
    <row r="121" spans="1:3" x14ac:dyDescent="0.25">
      <c r="A121" s="138" t="s">
        <v>620</v>
      </c>
      <c r="B121" s="141">
        <f>((B118)+(B119))+(B120)</f>
        <v>165622.88</v>
      </c>
      <c r="C121" s="141">
        <f>((C118)+(C119))+(C120)</f>
        <v>164905.85</v>
      </c>
    </row>
    <row r="122" spans="1:3" x14ac:dyDescent="0.25">
      <c r="A122" s="138" t="s">
        <v>388</v>
      </c>
      <c r="B122" s="140">
        <f>0</f>
        <v>0</v>
      </c>
      <c r="C122" s="140">
        <f>0</f>
        <v>0</v>
      </c>
    </row>
    <row r="123" spans="1:3" x14ac:dyDescent="0.25">
      <c r="A123" s="138" t="s">
        <v>479</v>
      </c>
      <c r="B123" s="140">
        <f>41759</f>
        <v>41759</v>
      </c>
      <c r="C123" s="140">
        <f>41759</f>
        <v>41759</v>
      </c>
    </row>
    <row r="124" spans="1:3" x14ac:dyDescent="0.25">
      <c r="A124" s="138" t="s">
        <v>362</v>
      </c>
      <c r="B124" s="141">
        <f>((((B116)+(B117))+(B121))+(B122))+(B123)</f>
        <v>287139.88</v>
      </c>
      <c r="C124" s="141">
        <f>((((C116)+(C117))+(C121))+(C122))+(C123)</f>
        <v>286422.84999999998</v>
      </c>
    </row>
    <row r="125" spans="1:3" x14ac:dyDescent="0.25">
      <c r="A125" s="138" t="s">
        <v>568</v>
      </c>
      <c r="B125" s="140">
        <f>0</f>
        <v>0</v>
      </c>
      <c r="C125" s="140">
        <f>0</f>
        <v>0</v>
      </c>
    </row>
    <row r="126" spans="1:3" x14ac:dyDescent="0.25">
      <c r="A126" s="138" t="s">
        <v>175</v>
      </c>
      <c r="B126" s="140">
        <f>-3600.04</f>
        <v>-3600.04</v>
      </c>
      <c r="C126" s="140">
        <v>-40408.29</v>
      </c>
    </row>
    <row r="127" spans="1:3" x14ac:dyDescent="0.25">
      <c r="A127" s="138" t="s">
        <v>176</v>
      </c>
      <c r="B127" s="141">
        <f>((((B114)+(B115))+(B124))+(B125))+(B126)</f>
        <v>2417259.0799999996</v>
      </c>
      <c r="C127" s="141">
        <f>((((C114)+(C115))+(C124))+(C125))+(C126)</f>
        <v>2438868.25</v>
      </c>
    </row>
    <row r="128" spans="1:3" x14ac:dyDescent="0.25">
      <c r="A128" s="138" t="s">
        <v>177</v>
      </c>
      <c r="B128" s="141">
        <f>(B109)+(B127)</f>
        <v>2431402.1199999996</v>
      </c>
      <c r="C128" s="141">
        <f>(C109)+(C127)</f>
        <v>2496885.38</v>
      </c>
    </row>
    <row r="129" spans="1:3" x14ac:dyDescent="0.25">
      <c r="A129" s="138"/>
      <c r="B129" s="139"/>
      <c r="C129" s="139"/>
    </row>
    <row r="132" spans="1:3" x14ac:dyDescent="0.25">
      <c r="A132" s="273" t="s">
        <v>717</v>
      </c>
      <c r="B132" s="269"/>
      <c r="C132" s="269"/>
    </row>
  </sheetData>
  <mergeCells count="5">
    <mergeCell ref="A1:C1"/>
    <mergeCell ref="A2:C2"/>
    <mergeCell ref="A3:C3"/>
    <mergeCell ref="B5:C5"/>
    <mergeCell ref="A132:C13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6230-FFE1-4141-8FDE-5F68EA548464}">
  <dimension ref="A1:C196"/>
  <sheetViews>
    <sheetView workbookViewId="0">
      <pane ySplit="6" topLeftCell="A7" activePane="bottomLeft" state="frozen"/>
      <selection pane="bottomLeft" sqref="A1:C1"/>
    </sheetView>
  </sheetViews>
  <sheetFormatPr defaultColWidth="8.85546875" defaultRowHeight="15" x14ac:dyDescent="0.25"/>
  <cols>
    <col min="1" max="1" width="55" customWidth="1"/>
    <col min="2" max="3" width="12" customWidth="1"/>
  </cols>
  <sheetData>
    <row r="1" spans="1:3" ht="18" x14ac:dyDescent="0.25">
      <c r="A1" s="268" t="s">
        <v>63</v>
      </c>
      <c r="B1" s="269"/>
      <c r="C1" s="269"/>
    </row>
    <row r="2" spans="1:3" ht="18" x14ac:dyDescent="0.25">
      <c r="A2" s="268" t="s">
        <v>533</v>
      </c>
      <c r="B2" s="269"/>
      <c r="C2" s="269"/>
    </row>
    <row r="3" spans="1:3" x14ac:dyDescent="0.25">
      <c r="A3" s="270" t="s">
        <v>689</v>
      </c>
      <c r="B3" s="269"/>
      <c r="C3" s="269"/>
    </row>
    <row r="5" spans="1:3" x14ac:dyDescent="0.25">
      <c r="A5" s="11"/>
      <c r="B5" s="271" t="s">
        <v>386</v>
      </c>
      <c r="C5" s="272"/>
    </row>
    <row r="6" spans="1:3" ht="24.75" x14ac:dyDescent="0.25">
      <c r="A6" s="11"/>
      <c r="B6" s="137" t="s">
        <v>697</v>
      </c>
      <c r="C6" s="137" t="s">
        <v>698</v>
      </c>
    </row>
    <row r="7" spans="1:3" x14ac:dyDescent="0.25">
      <c r="A7" s="138" t="s">
        <v>0</v>
      </c>
      <c r="B7" s="139"/>
      <c r="C7" s="139"/>
    </row>
    <row r="8" spans="1:3" x14ac:dyDescent="0.25">
      <c r="A8" s="138" t="s">
        <v>178</v>
      </c>
      <c r="B8" s="139"/>
      <c r="C8" s="139"/>
    </row>
    <row r="9" spans="1:3" x14ac:dyDescent="0.25">
      <c r="A9" s="138" t="s">
        <v>179</v>
      </c>
      <c r="B9" s="139"/>
      <c r="C9" s="139"/>
    </row>
    <row r="10" spans="1:3" x14ac:dyDescent="0.25">
      <c r="A10" s="138" t="s">
        <v>180</v>
      </c>
      <c r="B10" s="140">
        <f>136826.22</f>
        <v>136826.22</v>
      </c>
      <c r="C10" s="140">
        <f>150440.99</f>
        <v>150440.99</v>
      </c>
    </row>
    <row r="11" spans="1:3" x14ac:dyDescent="0.25">
      <c r="A11" s="138" t="s">
        <v>181</v>
      </c>
      <c r="B11" s="140">
        <f>-125168.79</f>
        <v>-125168.79</v>
      </c>
      <c r="C11" s="140">
        <v>-136591.99</v>
      </c>
    </row>
    <row r="12" spans="1:3" x14ac:dyDescent="0.25">
      <c r="A12" s="138" t="s">
        <v>182</v>
      </c>
      <c r="B12" s="141">
        <f>((B9)+(B10))+(B11)</f>
        <v>11657.430000000008</v>
      </c>
      <c r="C12" s="141">
        <f>((C9)+(C10))+(C11)</f>
        <v>13849</v>
      </c>
    </row>
    <row r="13" spans="1:3" x14ac:dyDescent="0.25">
      <c r="A13" s="138" t="s">
        <v>366</v>
      </c>
      <c r="B13" s="140">
        <f>187651.8</f>
        <v>187651.8</v>
      </c>
      <c r="C13" s="139"/>
    </row>
    <row r="14" spans="1:3" x14ac:dyDescent="0.25">
      <c r="A14" s="138" t="s">
        <v>183</v>
      </c>
      <c r="B14" s="139"/>
      <c r="C14" s="140">
        <f>168750</f>
        <v>168750</v>
      </c>
    </row>
    <row r="15" spans="1:3" x14ac:dyDescent="0.25">
      <c r="A15" s="138" t="s">
        <v>185</v>
      </c>
      <c r="B15" s="140">
        <f>-170189.54</f>
        <v>-170189.54</v>
      </c>
      <c r="C15" s="140">
        <v>-160316.51</v>
      </c>
    </row>
    <row r="16" spans="1:3" x14ac:dyDescent="0.25">
      <c r="A16" s="138" t="s">
        <v>186</v>
      </c>
      <c r="B16" s="141">
        <f>(B14)+(B15)</f>
        <v>-170189.54</v>
      </c>
      <c r="C16" s="141">
        <f>(C14)+(C15)</f>
        <v>8433.4899999999907</v>
      </c>
    </row>
    <row r="17" spans="1:3" x14ac:dyDescent="0.25">
      <c r="A17" s="138" t="s">
        <v>367</v>
      </c>
      <c r="B17" s="141">
        <f>(B13)+(B16)</f>
        <v>17462.25999999998</v>
      </c>
      <c r="C17" s="141">
        <f>(C13)+(C16)</f>
        <v>8433.4899999999907</v>
      </c>
    </row>
    <row r="18" spans="1:3" x14ac:dyDescent="0.25">
      <c r="A18" s="138" t="s">
        <v>187</v>
      </c>
      <c r="B18" s="139"/>
      <c r="C18" s="139"/>
    </row>
    <row r="19" spans="1:3" x14ac:dyDescent="0.25">
      <c r="A19" s="138" t="s">
        <v>191</v>
      </c>
      <c r="B19" s="139"/>
      <c r="C19" s="139"/>
    </row>
    <row r="20" spans="1:3" x14ac:dyDescent="0.25">
      <c r="A20" s="138" t="s">
        <v>699</v>
      </c>
      <c r="B20" s="139"/>
      <c r="C20" s="140">
        <f>5000</f>
        <v>5000</v>
      </c>
    </row>
    <row r="21" spans="1:3" x14ac:dyDescent="0.25">
      <c r="A21" s="138" t="s">
        <v>492</v>
      </c>
      <c r="B21" s="140">
        <f>0.9</f>
        <v>0.9</v>
      </c>
      <c r="C21" s="140">
        <f>2.55</f>
        <v>2.5499999999999998</v>
      </c>
    </row>
    <row r="22" spans="1:3" x14ac:dyDescent="0.25">
      <c r="A22" s="138" t="s">
        <v>669</v>
      </c>
      <c r="B22" s="140">
        <f>1159</f>
        <v>1159</v>
      </c>
      <c r="C22" s="139"/>
    </row>
    <row r="23" spans="1:3" x14ac:dyDescent="0.25">
      <c r="A23" s="138" t="s">
        <v>192</v>
      </c>
      <c r="B23" s="141">
        <f>(((B19)+(B20))+(B21))+(B22)</f>
        <v>1159.9000000000001</v>
      </c>
      <c r="C23" s="141">
        <f>(((C19)+(C20))+(C21))+(C22)</f>
        <v>5002.55</v>
      </c>
    </row>
    <row r="24" spans="1:3" x14ac:dyDescent="0.25">
      <c r="A24" s="138" t="s">
        <v>193</v>
      </c>
      <c r="B24" s="141">
        <f>(B18)+(B23)</f>
        <v>1159.9000000000001</v>
      </c>
      <c r="C24" s="141">
        <f>(C18)+(C23)</f>
        <v>5002.55</v>
      </c>
    </row>
    <row r="25" spans="1:3" x14ac:dyDescent="0.25">
      <c r="A25" s="138" t="s">
        <v>194</v>
      </c>
      <c r="B25" s="141">
        <f>(((B8)+(B12))+(B17))+(B24)</f>
        <v>30279.589999999989</v>
      </c>
      <c r="C25" s="141">
        <f>(((C8)+(C12))+(C17))+(C24)</f>
        <v>27285.03999999999</v>
      </c>
    </row>
    <row r="26" spans="1:3" x14ac:dyDescent="0.25">
      <c r="A26" s="138" t="s">
        <v>195</v>
      </c>
      <c r="B26" s="139"/>
      <c r="C26" s="139"/>
    </row>
    <row r="27" spans="1:3" x14ac:dyDescent="0.25">
      <c r="A27" s="138" t="s">
        <v>196</v>
      </c>
      <c r="B27" s="139"/>
      <c r="C27" s="139"/>
    </row>
    <row r="28" spans="1:3" x14ac:dyDescent="0.25">
      <c r="A28" s="138" t="s">
        <v>197</v>
      </c>
      <c r="B28" s="140">
        <f>6525</f>
        <v>6525</v>
      </c>
      <c r="C28" s="140">
        <f>17305.31</f>
        <v>17305.310000000001</v>
      </c>
    </row>
    <row r="29" spans="1:3" x14ac:dyDescent="0.25">
      <c r="A29" s="138" t="s">
        <v>198</v>
      </c>
      <c r="B29" s="140">
        <f>350</f>
        <v>350</v>
      </c>
      <c r="C29" s="140">
        <f>8650</f>
        <v>8650</v>
      </c>
    </row>
    <row r="30" spans="1:3" x14ac:dyDescent="0.25">
      <c r="A30" s="138" t="s">
        <v>199</v>
      </c>
      <c r="B30" s="141">
        <f>((B27)+(B28))+(B29)</f>
        <v>6875</v>
      </c>
      <c r="C30" s="141">
        <f>((C27)+(C28))+(C29)</f>
        <v>25955.31</v>
      </c>
    </row>
    <row r="31" spans="1:3" x14ac:dyDescent="0.25">
      <c r="A31" s="138" t="s">
        <v>200</v>
      </c>
      <c r="B31" s="139"/>
      <c r="C31" s="139"/>
    </row>
    <row r="32" spans="1:3" x14ac:dyDescent="0.25">
      <c r="A32" s="138" t="s">
        <v>201</v>
      </c>
      <c r="B32" s="139"/>
      <c r="C32" s="139"/>
    </row>
    <row r="33" spans="1:3" x14ac:dyDescent="0.25">
      <c r="A33" s="138" t="s">
        <v>363</v>
      </c>
      <c r="B33" s="140">
        <f>1133.29</f>
        <v>1133.29</v>
      </c>
      <c r="C33" s="140">
        <f>2607.5</f>
        <v>2607.5</v>
      </c>
    </row>
    <row r="34" spans="1:3" x14ac:dyDescent="0.25">
      <c r="A34" s="138" t="s">
        <v>203</v>
      </c>
      <c r="B34" s="140">
        <f>2500</f>
        <v>2500</v>
      </c>
      <c r="C34" s="140">
        <f>2500</f>
        <v>2500</v>
      </c>
    </row>
    <row r="35" spans="1:3" x14ac:dyDescent="0.25">
      <c r="A35" s="138" t="s">
        <v>378</v>
      </c>
      <c r="B35" s="139"/>
      <c r="C35" s="140">
        <f>2043</f>
        <v>2043</v>
      </c>
    </row>
    <row r="36" spans="1:3" x14ac:dyDescent="0.25">
      <c r="A36" s="138" t="s">
        <v>284</v>
      </c>
      <c r="B36" s="140">
        <f>15000</f>
        <v>15000</v>
      </c>
      <c r="C36" s="140">
        <f>15000</f>
        <v>15000</v>
      </c>
    </row>
    <row r="37" spans="1:3" x14ac:dyDescent="0.25">
      <c r="A37" s="138" t="s">
        <v>204</v>
      </c>
      <c r="B37" s="141">
        <f>((((B32)+(B33))+(B34))+(B35))+(B36)</f>
        <v>18633.29</v>
      </c>
      <c r="C37" s="141">
        <f>((((C32)+(C33))+(C34))+(C35))+(C36)</f>
        <v>22150.5</v>
      </c>
    </row>
    <row r="38" spans="1:3" x14ac:dyDescent="0.25">
      <c r="A38" s="138" t="s">
        <v>206</v>
      </c>
      <c r="B38" s="141">
        <f>(B31)+(B37)</f>
        <v>18633.29</v>
      </c>
      <c r="C38" s="141">
        <f>(C31)+(C37)</f>
        <v>22150.5</v>
      </c>
    </row>
    <row r="39" spans="1:3" x14ac:dyDescent="0.25">
      <c r="A39" s="138" t="s">
        <v>658</v>
      </c>
      <c r="B39" s="139"/>
      <c r="C39" s="139"/>
    </row>
    <row r="40" spans="1:3" x14ac:dyDescent="0.25">
      <c r="A40" s="138" t="s">
        <v>590</v>
      </c>
      <c r="B40" s="140">
        <f>500</f>
        <v>500</v>
      </c>
      <c r="C40" s="140">
        <f>-202.43</f>
        <v>-202.43</v>
      </c>
    </row>
    <row r="41" spans="1:3" x14ac:dyDescent="0.25">
      <c r="A41" s="138" t="s">
        <v>659</v>
      </c>
      <c r="B41" s="141">
        <f>(B39)+(B40)</f>
        <v>500</v>
      </c>
      <c r="C41" s="141">
        <f>(C39)+(C40)</f>
        <v>-202.43</v>
      </c>
    </row>
    <row r="42" spans="1:3" x14ac:dyDescent="0.25">
      <c r="A42" s="138" t="s">
        <v>580</v>
      </c>
      <c r="B42" s="140">
        <f>1936.05</f>
        <v>1936.05</v>
      </c>
      <c r="C42" s="140">
        <f>0</f>
        <v>0</v>
      </c>
    </row>
    <row r="43" spans="1:3" x14ac:dyDescent="0.25">
      <c r="A43" s="138" t="s">
        <v>207</v>
      </c>
      <c r="B43" s="141">
        <f>((((B26)+(B30))+(B38))+(B41))+(B42)</f>
        <v>27944.34</v>
      </c>
      <c r="C43" s="141">
        <f>((((C26)+(C30))+(C38))+(C41))+(C42)</f>
        <v>47903.38</v>
      </c>
    </row>
    <row r="44" spans="1:3" x14ac:dyDescent="0.25">
      <c r="A44" s="138" t="s">
        <v>1</v>
      </c>
      <c r="B44" s="141">
        <f>(B25)+(B43)</f>
        <v>58223.929999999993</v>
      </c>
      <c r="C44" s="141">
        <f>(C25)+(C43)</f>
        <v>75188.419999999984</v>
      </c>
    </row>
    <row r="45" spans="1:3" x14ac:dyDescent="0.25">
      <c r="A45" s="138" t="s">
        <v>2</v>
      </c>
      <c r="B45" s="141">
        <f>(B44)-(0)</f>
        <v>58223.929999999993</v>
      </c>
      <c r="C45" s="141">
        <f>(C44)-(0)</f>
        <v>75188.419999999984</v>
      </c>
    </row>
    <row r="46" spans="1:3" x14ac:dyDescent="0.25">
      <c r="A46" s="138" t="s">
        <v>208</v>
      </c>
      <c r="B46" s="139"/>
      <c r="C46" s="139"/>
    </row>
    <row r="47" spans="1:3" x14ac:dyDescent="0.25">
      <c r="A47" s="138" t="s">
        <v>209</v>
      </c>
      <c r="B47" s="139"/>
      <c r="C47" s="139"/>
    </row>
    <row r="48" spans="1:3" x14ac:dyDescent="0.25">
      <c r="A48" s="138" t="s">
        <v>608</v>
      </c>
      <c r="B48" s="139"/>
      <c r="C48" s="139"/>
    </row>
    <row r="49" spans="1:3" x14ac:dyDescent="0.25">
      <c r="A49" s="138" t="s">
        <v>276</v>
      </c>
      <c r="B49" s="139"/>
      <c r="C49" s="139"/>
    </row>
    <row r="50" spans="1:3" x14ac:dyDescent="0.25">
      <c r="A50" s="138" t="s">
        <v>647</v>
      </c>
      <c r="B50" s="139"/>
      <c r="C50" s="139"/>
    </row>
    <row r="51" spans="1:3" x14ac:dyDescent="0.25">
      <c r="A51" s="138" t="s">
        <v>648</v>
      </c>
      <c r="B51" s="140">
        <f>180</f>
        <v>180</v>
      </c>
      <c r="C51" s="140">
        <f>945</f>
        <v>945</v>
      </c>
    </row>
    <row r="52" spans="1:3" x14ac:dyDescent="0.25">
      <c r="A52" s="138" t="s">
        <v>649</v>
      </c>
      <c r="B52" s="141">
        <f>(B50)+(B51)</f>
        <v>180</v>
      </c>
      <c r="C52" s="141">
        <f>(C50)+(C51)</f>
        <v>945</v>
      </c>
    </row>
    <row r="53" spans="1:3" x14ac:dyDescent="0.25">
      <c r="A53" s="138" t="s">
        <v>569</v>
      </c>
      <c r="B53" s="140">
        <f>1230.45</f>
        <v>1230.45</v>
      </c>
      <c r="C53" s="140">
        <f>1735.5</f>
        <v>1735.5</v>
      </c>
    </row>
    <row r="54" spans="1:3" x14ac:dyDescent="0.25">
      <c r="A54" s="138" t="s">
        <v>277</v>
      </c>
      <c r="B54" s="139"/>
      <c r="C54" s="139"/>
    </row>
    <row r="55" spans="1:3" x14ac:dyDescent="0.25">
      <c r="A55" s="138" t="s">
        <v>278</v>
      </c>
      <c r="B55" s="140">
        <f>8817.32</f>
        <v>8817.32</v>
      </c>
      <c r="C55" s="140">
        <f>13461.54</f>
        <v>13461.54</v>
      </c>
    </row>
    <row r="56" spans="1:3" x14ac:dyDescent="0.25">
      <c r="A56" s="138" t="s">
        <v>579</v>
      </c>
      <c r="B56" s="140">
        <f>904.78</f>
        <v>904.78</v>
      </c>
      <c r="C56" s="140">
        <f>980.75</f>
        <v>980.75</v>
      </c>
    </row>
    <row r="57" spans="1:3" x14ac:dyDescent="0.25">
      <c r="A57" s="138" t="s">
        <v>607</v>
      </c>
      <c r="B57" s="140">
        <f>75.97</f>
        <v>75.97</v>
      </c>
      <c r="C57" s="139"/>
    </row>
    <row r="58" spans="1:3" x14ac:dyDescent="0.25">
      <c r="A58" s="138" t="s">
        <v>609</v>
      </c>
      <c r="B58" s="141">
        <f>(((B54)+(B55))+(B56))+(B57)</f>
        <v>9798.07</v>
      </c>
      <c r="C58" s="141">
        <f>(((C54)+(C55))+(C56))+(C57)</f>
        <v>14442.29</v>
      </c>
    </row>
    <row r="59" spans="1:3" x14ac:dyDescent="0.25">
      <c r="A59" s="138" t="s">
        <v>416</v>
      </c>
      <c r="B59" s="139"/>
      <c r="C59" s="139"/>
    </row>
    <row r="60" spans="1:3" x14ac:dyDescent="0.25">
      <c r="A60" s="138" t="s">
        <v>417</v>
      </c>
      <c r="B60" s="139"/>
      <c r="C60" s="140">
        <f>303.05</f>
        <v>303.05</v>
      </c>
    </row>
    <row r="61" spans="1:3" x14ac:dyDescent="0.25">
      <c r="A61" s="138" t="s">
        <v>610</v>
      </c>
      <c r="B61" s="141">
        <f>(B59)+(B60)</f>
        <v>0</v>
      </c>
      <c r="C61" s="141">
        <f>(C59)+(C60)</f>
        <v>303.05</v>
      </c>
    </row>
    <row r="62" spans="1:3" x14ac:dyDescent="0.25">
      <c r="A62" s="138" t="s">
        <v>611</v>
      </c>
      <c r="B62" s="141">
        <f>((((B49)+(B52))+(B53))+(B58))+(B61)</f>
        <v>11208.52</v>
      </c>
      <c r="C62" s="141">
        <f>((((C49)+(C52))+(C53))+(C58))+(C61)</f>
        <v>17425.84</v>
      </c>
    </row>
    <row r="63" spans="1:3" x14ac:dyDescent="0.25">
      <c r="A63" s="138" t="s">
        <v>279</v>
      </c>
      <c r="B63" s="139"/>
      <c r="C63" s="139"/>
    </row>
    <row r="64" spans="1:3" x14ac:dyDescent="0.25">
      <c r="A64" s="138" t="s">
        <v>690</v>
      </c>
      <c r="B64" s="140">
        <f>1853.25</f>
        <v>1853.25</v>
      </c>
      <c r="C64" s="140">
        <f>1010.81</f>
        <v>1010.81</v>
      </c>
    </row>
    <row r="65" spans="1:3" x14ac:dyDescent="0.25">
      <c r="A65" s="138" t="s">
        <v>422</v>
      </c>
      <c r="B65" s="140">
        <f>1022.15</f>
        <v>1022.15</v>
      </c>
      <c r="C65" s="140">
        <f>1618.71</f>
        <v>1618.71</v>
      </c>
    </row>
    <row r="66" spans="1:3" x14ac:dyDescent="0.25">
      <c r="A66" s="138" t="s">
        <v>549</v>
      </c>
      <c r="B66" s="139"/>
      <c r="C66" s="140">
        <f>1465</f>
        <v>1465</v>
      </c>
    </row>
    <row r="67" spans="1:3" x14ac:dyDescent="0.25">
      <c r="A67" s="138" t="s">
        <v>414</v>
      </c>
      <c r="B67" s="140">
        <f>558.21</f>
        <v>558.21</v>
      </c>
      <c r="C67" s="140">
        <f>468.43</f>
        <v>468.43</v>
      </c>
    </row>
    <row r="68" spans="1:3" x14ac:dyDescent="0.25">
      <c r="A68" s="138" t="s">
        <v>518</v>
      </c>
      <c r="B68" s="140">
        <f>-63.97</f>
        <v>-63.97</v>
      </c>
      <c r="C68" s="140">
        <f>32.45</f>
        <v>32.450000000000003</v>
      </c>
    </row>
    <row r="69" spans="1:3" x14ac:dyDescent="0.25">
      <c r="A69" s="138" t="s">
        <v>612</v>
      </c>
      <c r="B69" s="141">
        <f>(((((B63)+(B64))+(B65))+(B66))+(B67))+(B68)</f>
        <v>3369.6400000000003</v>
      </c>
      <c r="C69" s="141">
        <f>(((((C63)+(C64))+(C65))+(C66))+(C67))+(C68)</f>
        <v>4595.3999999999996</v>
      </c>
    </row>
    <row r="70" spans="1:3" x14ac:dyDescent="0.25">
      <c r="A70" s="138" t="s">
        <v>660</v>
      </c>
      <c r="B70" s="139"/>
      <c r="C70" s="139"/>
    </row>
    <row r="71" spans="1:3" x14ac:dyDescent="0.25">
      <c r="A71" s="138" t="s">
        <v>668</v>
      </c>
      <c r="B71" s="140">
        <f>2686.58</f>
        <v>2686.58</v>
      </c>
      <c r="C71" s="139"/>
    </row>
    <row r="72" spans="1:3" x14ac:dyDescent="0.25">
      <c r="A72" s="138" t="s">
        <v>700</v>
      </c>
      <c r="B72" s="139"/>
      <c r="C72" s="140">
        <f>-1559.28</f>
        <v>-1559.28</v>
      </c>
    </row>
    <row r="73" spans="1:3" x14ac:dyDescent="0.25">
      <c r="A73" s="138" t="s">
        <v>661</v>
      </c>
      <c r="B73" s="141">
        <f>((B70)+(B71))+(B72)</f>
        <v>2686.58</v>
      </c>
      <c r="C73" s="141">
        <f>((C70)+(C71))+(C72)</f>
        <v>-1559.28</v>
      </c>
    </row>
    <row r="74" spans="1:3" x14ac:dyDescent="0.25">
      <c r="A74" s="138" t="s">
        <v>613</v>
      </c>
      <c r="B74" s="141">
        <f>(((B48)+(B62))+(B69))+(B73)</f>
        <v>17264.739999999998</v>
      </c>
      <c r="C74" s="141">
        <f>(((C48)+(C62))+(C69))+(C73)</f>
        <v>20461.96</v>
      </c>
    </row>
    <row r="75" spans="1:3" x14ac:dyDescent="0.25">
      <c r="A75" s="138" t="s">
        <v>219</v>
      </c>
      <c r="B75" s="139"/>
      <c r="C75" s="139"/>
    </row>
    <row r="76" spans="1:3" x14ac:dyDescent="0.25">
      <c r="A76" s="138" t="s">
        <v>622</v>
      </c>
      <c r="B76" s="140">
        <f>1001.33</f>
        <v>1001.33</v>
      </c>
      <c r="C76" s="139"/>
    </row>
    <row r="77" spans="1:3" x14ac:dyDescent="0.25">
      <c r="A77" s="138" t="s">
        <v>421</v>
      </c>
      <c r="B77" s="140">
        <f>32.35</f>
        <v>32.35</v>
      </c>
      <c r="C77" s="140">
        <f>184.55</f>
        <v>184.55</v>
      </c>
    </row>
    <row r="78" spans="1:3" x14ac:dyDescent="0.25">
      <c r="A78" s="138" t="s">
        <v>221</v>
      </c>
      <c r="B78" s="140">
        <f>649.21</f>
        <v>649.21</v>
      </c>
      <c r="C78" s="140">
        <f>1787.9</f>
        <v>1787.9</v>
      </c>
    </row>
    <row r="79" spans="1:3" x14ac:dyDescent="0.25">
      <c r="A79" s="138" t="s">
        <v>300</v>
      </c>
      <c r="B79" s="140">
        <f>134.19</f>
        <v>134.19</v>
      </c>
      <c r="C79" s="139"/>
    </row>
    <row r="80" spans="1:3" x14ac:dyDescent="0.25">
      <c r="A80" s="138" t="s">
        <v>401</v>
      </c>
      <c r="B80" s="139"/>
      <c r="C80" s="139"/>
    </row>
    <row r="81" spans="1:3" x14ac:dyDescent="0.25">
      <c r="A81" s="138" t="s">
        <v>280</v>
      </c>
      <c r="B81" s="140">
        <f>187.79</f>
        <v>187.79</v>
      </c>
      <c r="C81" s="140">
        <f>90.39</f>
        <v>90.39</v>
      </c>
    </row>
    <row r="82" spans="1:3" x14ac:dyDescent="0.25">
      <c r="A82" s="138" t="s">
        <v>701</v>
      </c>
      <c r="B82" s="139"/>
      <c r="C82" s="140">
        <f>30</f>
        <v>30</v>
      </c>
    </row>
    <row r="83" spans="1:3" x14ac:dyDescent="0.25">
      <c r="A83" s="138" t="s">
        <v>402</v>
      </c>
      <c r="B83" s="141">
        <f>((B80)+(B81))+(B82)</f>
        <v>187.79</v>
      </c>
      <c r="C83" s="141">
        <f>((C80)+(C81))+(C82)</f>
        <v>120.39</v>
      </c>
    </row>
    <row r="84" spans="1:3" x14ac:dyDescent="0.25">
      <c r="A84" s="138" t="s">
        <v>222</v>
      </c>
      <c r="B84" s="139"/>
      <c r="C84" s="139"/>
    </row>
    <row r="85" spans="1:3" x14ac:dyDescent="0.25">
      <c r="A85" s="138" t="s">
        <v>301</v>
      </c>
      <c r="B85" s="139"/>
      <c r="C85" s="140">
        <f>23.95</f>
        <v>23.95</v>
      </c>
    </row>
    <row r="86" spans="1:3" x14ac:dyDescent="0.25">
      <c r="A86" s="138" t="s">
        <v>223</v>
      </c>
      <c r="B86" s="139"/>
      <c r="C86" s="140">
        <f>1.1</f>
        <v>1.1000000000000001</v>
      </c>
    </row>
    <row r="87" spans="1:3" x14ac:dyDescent="0.25">
      <c r="A87" s="138" t="s">
        <v>224</v>
      </c>
      <c r="B87" s="141">
        <f>((B84)+(B85))+(B86)</f>
        <v>0</v>
      </c>
      <c r="C87" s="141">
        <f>((C84)+(C85))+(C86)</f>
        <v>25.05</v>
      </c>
    </row>
    <row r="88" spans="1:3" x14ac:dyDescent="0.25">
      <c r="A88" s="138" t="s">
        <v>375</v>
      </c>
      <c r="B88" s="140">
        <f>145</f>
        <v>145</v>
      </c>
      <c r="C88" s="139"/>
    </row>
    <row r="89" spans="1:3" x14ac:dyDescent="0.25">
      <c r="A89" s="138" t="s">
        <v>302</v>
      </c>
      <c r="B89" s="139"/>
      <c r="C89" s="140">
        <f>231.21</f>
        <v>231.21</v>
      </c>
    </row>
    <row r="90" spans="1:3" x14ac:dyDescent="0.25">
      <c r="A90" s="138" t="s">
        <v>227</v>
      </c>
      <c r="B90" s="139"/>
      <c r="C90" s="140">
        <f>876</f>
        <v>876</v>
      </c>
    </row>
    <row r="91" spans="1:3" x14ac:dyDescent="0.25">
      <c r="A91" s="138" t="s">
        <v>305</v>
      </c>
      <c r="B91" s="139"/>
      <c r="C91" s="140">
        <f>38.88</f>
        <v>38.880000000000003</v>
      </c>
    </row>
    <row r="92" spans="1:3" x14ac:dyDescent="0.25">
      <c r="A92" s="138" t="s">
        <v>229</v>
      </c>
      <c r="B92" s="141">
        <f>((((((((((B75)+(B76))+(B77))+(B78))+(B79))+(B83))+(B87))+(B88))+(B89))+(B90))+(B91)</f>
        <v>2149.87</v>
      </c>
      <c r="C92" s="141">
        <f>((((((((((C75)+(C76))+(C77))+(C78))+(C79))+(C83))+(C87))+(C88))+(C89))+(C90))+(C91)</f>
        <v>3263.9800000000005</v>
      </c>
    </row>
    <row r="93" spans="1:3" x14ac:dyDescent="0.25">
      <c r="A93" s="138" t="s">
        <v>230</v>
      </c>
      <c r="B93" s="139"/>
      <c r="C93" s="139"/>
    </row>
    <row r="94" spans="1:3" x14ac:dyDescent="0.25">
      <c r="A94" s="138" t="s">
        <v>231</v>
      </c>
      <c r="B94" s="139"/>
      <c r="C94" s="139"/>
    </row>
    <row r="95" spans="1:3" x14ac:dyDescent="0.25">
      <c r="A95" s="138" t="s">
        <v>322</v>
      </c>
      <c r="B95" s="140">
        <f>254.75</f>
        <v>254.75</v>
      </c>
      <c r="C95" s="140">
        <f>254.25</f>
        <v>254.25</v>
      </c>
    </row>
    <row r="96" spans="1:3" x14ac:dyDescent="0.25">
      <c r="A96" s="138" t="s">
        <v>232</v>
      </c>
      <c r="B96" s="140">
        <f>5975.82</f>
        <v>5975.82</v>
      </c>
      <c r="C96" s="140">
        <f>3894.19</f>
        <v>3894.19</v>
      </c>
    </row>
    <row r="97" spans="1:3" x14ac:dyDescent="0.25">
      <c r="A97" s="138" t="s">
        <v>233</v>
      </c>
      <c r="B97" s="141">
        <f>((B94)+(B95))+(B96)</f>
        <v>6230.57</v>
      </c>
      <c r="C97" s="141">
        <f>((C94)+(C95))+(C96)</f>
        <v>4148.4400000000005</v>
      </c>
    </row>
    <row r="98" spans="1:3" x14ac:dyDescent="0.25">
      <c r="A98" s="138" t="s">
        <v>234</v>
      </c>
      <c r="B98" s="139"/>
      <c r="C98" s="139"/>
    </row>
    <row r="99" spans="1:3" x14ac:dyDescent="0.25">
      <c r="A99" s="138" t="s">
        <v>235</v>
      </c>
      <c r="B99" s="140">
        <f>191.08</f>
        <v>191.08</v>
      </c>
      <c r="C99" s="140">
        <f>145.76</f>
        <v>145.76</v>
      </c>
    </row>
    <row r="100" spans="1:3" x14ac:dyDescent="0.25">
      <c r="A100" s="138" t="s">
        <v>323</v>
      </c>
      <c r="B100" s="140">
        <f>517.59</f>
        <v>517.59</v>
      </c>
      <c r="C100" s="139"/>
    </row>
    <row r="101" spans="1:3" x14ac:dyDescent="0.25">
      <c r="A101" s="138" t="s">
        <v>236</v>
      </c>
      <c r="B101" s="141">
        <f>((B98)+(B99))+(B100)</f>
        <v>708.67000000000007</v>
      </c>
      <c r="C101" s="141">
        <f>((C98)+(C99))+(C100)</f>
        <v>145.76</v>
      </c>
    </row>
    <row r="102" spans="1:3" x14ac:dyDescent="0.25">
      <c r="A102" s="138" t="s">
        <v>691</v>
      </c>
      <c r="B102" s="140">
        <f>1124.61</f>
        <v>1124.6099999999999</v>
      </c>
      <c r="C102" s="139"/>
    </row>
    <row r="103" spans="1:3" x14ac:dyDescent="0.25">
      <c r="A103" s="138" t="s">
        <v>333</v>
      </c>
      <c r="B103" s="139"/>
      <c r="C103" s="139"/>
    </row>
    <row r="104" spans="1:3" x14ac:dyDescent="0.25">
      <c r="A104" s="138" t="s">
        <v>335</v>
      </c>
      <c r="B104" s="140">
        <f>913.5</f>
        <v>913.5</v>
      </c>
      <c r="C104" s="139"/>
    </row>
    <row r="105" spans="1:3" x14ac:dyDescent="0.25">
      <c r="A105" s="138" t="s">
        <v>337</v>
      </c>
      <c r="B105" s="139"/>
      <c r="C105" s="140">
        <f>62.28</f>
        <v>62.28</v>
      </c>
    </row>
    <row r="106" spans="1:3" x14ac:dyDescent="0.25">
      <c r="A106" s="138" t="s">
        <v>339</v>
      </c>
      <c r="B106" s="140">
        <f>80</f>
        <v>80</v>
      </c>
      <c r="C106" s="139"/>
    </row>
    <row r="107" spans="1:3" x14ac:dyDescent="0.25">
      <c r="A107" s="138" t="s">
        <v>342</v>
      </c>
      <c r="B107" s="141">
        <f>(((B103)+(B104))+(B105))+(B106)</f>
        <v>993.5</v>
      </c>
      <c r="C107" s="141">
        <f>(((C103)+(C104))+(C105))+(C106)</f>
        <v>62.28</v>
      </c>
    </row>
    <row r="108" spans="1:3" x14ac:dyDescent="0.25">
      <c r="A108" s="138" t="s">
        <v>237</v>
      </c>
      <c r="B108" s="141">
        <f>((((B93)+(B97))+(B101))+(B102))+(B107)</f>
        <v>9057.3499999999985</v>
      </c>
      <c r="C108" s="141">
        <f>((((C93)+(C97))+(C101))+(C102))+(C107)</f>
        <v>4356.4800000000005</v>
      </c>
    </row>
    <row r="109" spans="1:3" x14ac:dyDescent="0.25">
      <c r="A109" s="138" t="s">
        <v>238</v>
      </c>
      <c r="B109" s="141">
        <f>(((B47)+(B74))+(B92))+(B108)</f>
        <v>28471.959999999995</v>
      </c>
      <c r="C109" s="141">
        <f>(((C47)+(C74))+(C92))+(C108)</f>
        <v>28082.42</v>
      </c>
    </row>
    <row r="110" spans="1:3" x14ac:dyDescent="0.25">
      <c r="A110" s="138" t="s">
        <v>239</v>
      </c>
      <c r="B110" s="139"/>
      <c r="C110" s="139"/>
    </row>
    <row r="111" spans="1:3" x14ac:dyDescent="0.25">
      <c r="A111" s="138" t="s">
        <v>240</v>
      </c>
      <c r="B111" s="139"/>
      <c r="C111" s="139"/>
    </row>
    <row r="112" spans="1:3" x14ac:dyDescent="0.25">
      <c r="A112" s="138" t="s">
        <v>241</v>
      </c>
      <c r="B112" s="139"/>
      <c r="C112" s="139"/>
    </row>
    <row r="113" spans="1:3" x14ac:dyDescent="0.25">
      <c r="A113" s="138" t="s">
        <v>389</v>
      </c>
      <c r="B113" s="139"/>
      <c r="C113" s="139"/>
    </row>
    <row r="114" spans="1:3" x14ac:dyDescent="0.25">
      <c r="A114" s="138" t="s">
        <v>400</v>
      </c>
      <c r="B114" s="140">
        <f>4212.97</f>
        <v>4212.97</v>
      </c>
      <c r="C114" s="140">
        <f>5307.68</f>
        <v>5307.68</v>
      </c>
    </row>
    <row r="115" spans="1:3" x14ac:dyDescent="0.25">
      <c r="A115" s="138" t="s">
        <v>500</v>
      </c>
      <c r="B115" s="140">
        <f>2137.02</f>
        <v>2137.02</v>
      </c>
      <c r="C115" s="140">
        <f>2692.32</f>
        <v>2692.32</v>
      </c>
    </row>
    <row r="116" spans="1:3" x14ac:dyDescent="0.25">
      <c r="A116" s="138" t="s">
        <v>396</v>
      </c>
      <c r="B116" s="140">
        <f>485.77</f>
        <v>485.77</v>
      </c>
      <c r="C116" s="140">
        <f>612</f>
        <v>612</v>
      </c>
    </row>
    <row r="117" spans="1:3" x14ac:dyDescent="0.25">
      <c r="A117" s="138" t="s">
        <v>581</v>
      </c>
      <c r="B117" s="140">
        <f>-113.45</f>
        <v>-113.45</v>
      </c>
      <c r="C117" s="140">
        <f>5538.59</f>
        <v>5538.59</v>
      </c>
    </row>
    <row r="118" spans="1:3" x14ac:dyDescent="0.25">
      <c r="A118" s="138" t="s">
        <v>391</v>
      </c>
      <c r="B118" s="140">
        <f>2852.56</f>
        <v>2852.56</v>
      </c>
      <c r="C118" s="140">
        <f>798.75</f>
        <v>798.75</v>
      </c>
    </row>
    <row r="119" spans="1:3" x14ac:dyDescent="0.25">
      <c r="A119" s="138" t="s">
        <v>591</v>
      </c>
      <c r="B119" s="140">
        <f>984.9</f>
        <v>984.9</v>
      </c>
      <c r="C119" s="139"/>
    </row>
    <row r="120" spans="1:3" x14ac:dyDescent="0.25">
      <c r="A120" s="138" t="s">
        <v>592</v>
      </c>
      <c r="B120" s="140">
        <f>33.36</f>
        <v>33.36</v>
      </c>
      <c r="C120" s="140">
        <f>30.97</f>
        <v>30.97</v>
      </c>
    </row>
    <row r="121" spans="1:3" x14ac:dyDescent="0.25">
      <c r="A121" s="138" t="s">
        <v>702</v>
      </c>
      <c r="B121" s="139"/>
      <c r="C121" s="140">
        <f>992.58</f>
        <v>992.58</v>
      </c>
    </row>
    <row r="122" spans="1:3" x14ac:dyDescent="0.25">
      <c r="A122" s="138" t="s">
        <v>390</v>
      </c>
      <c r="B122" s="141">
        <f>((((((((B113)+(B114))+(B115))+(B116))+(B117))+(B118))+(B119))+(B120))+(B121)</f>
        <v>10593.130000000001</v>
      </c>
      <c r="C122" s="141">
        <f>((((((((C113)+(C114))+(C115))+(C116))+(C117))+(C118))+(C119))+(C120))+(C121)</f>
        <v>15972.89</v>
      </c>
    </row>
    <row r="123" spans="1:3" x14ac:dyDescent="0.25">
      <c r="A123" s="138" t="s">
        <v>242</v>
      </c>
      <c r="B123" s="141">
        <f>(B112)+(B122)</f>
        <v>10593.130000000001</v>
      </c>
      <c r="C123" s="141">
        <f>(C112)+(C122)</f>
        <v>15972.89</v>
      </c>
    </row>
    <row r="124" spans="1:3" x14ac:dyDescent="0.25">
      <c r="A124" s="138" t="s">
        <v>243</v>
      </c>
      <c r="B124" s="139"/>
      <c r="C124" s="139"/>
    </row>
    <row r="125" spans="1:3" x14ac:dyDescent="0.25">
      <c r="A125" s="138" t="s">
        <v>244</v>
      </c>
      <c r="B125" s="140">
        <f>1652.36</f>
        <v>1652.36</v>
      </c>
      <c r="C125" s="140">
        <f>2465.66</f>
        <v>2465.66</v>
      </c>
    </row>
    <row r="126" spans="1:3" x14ac:dyDescent="0.25">
      <c r="A126" s="138" t="s">
        <v>420</v>
      </c>
      <c r="B126" s="140">
        <f>171.67</f>
        <v>171.67</v>
      </c>
      <c r="C126" s="140">
        <f>215.05</f>
        <v>215.05</v>
      </c>
    </row>
    <row r="127" spans="1:3" x14ac:dyDescent="0.25">
      <c r="A127" s="138" t="s">
        <v>245</v>
      </c>
      <c r="B127" s="141">
        <f>((B124)+(B125))+(B126)</f>
        <v>1824.03</v>
      </c>
      <c r="C127" s="141">
        <f>((C124)+(C125))+(C126)</f>
        <v>2680.71</v>
      </c>
    </row>
    <row r="128" spans="1:3" x14ac:dyDescent="0.25">
      <c r="A128" s="138" t="s">
        <v>443</v>
      </c>
      <c r="B128" s="139"/>
      <c r="C128" s="139"/>
    </row>
    <row r="129" spans="1:3" x14ac:dyDescent="0.25">
      <c r="A129" s="138" t="s">
        <v>449</v>
      </c>
      <c r="B129" s="139"/>
      <c r="C129" s="140">
        <f>2333.21</f>
        <v>2333.21</v>
      </c>
    </row>
    <row r="130" spans="1:3" x14ac:dyDescent="0.25">
      <c r="A130" s="138" t="s">
        <v>468</v>
      </c>
      <c r="B130" s="140">
        <f>590.51</f>
        <v>590.51</v>
      </c>
      <c r="C130" s="140">
        <f>1926.32</f>
        <v>1926.32</v>
      </c>
    </row>
    <row r="131" spans="1:3" x14ac:dyDescent="0.25">
      <c r="A131" s="138" t="s">
        <v>499</v>
      </c>
      <c r="B131" s="140">
        <f>456.44</f>
        <v>456.44</v>
      </c>
      <c r="C131" s="140">
        <f>130.03</f>
        <v>130.03</v>
      </c>
    </row>
    <row r="132" spans="1:3" x14ac:dyDescent="0.25">
      <c r="A132" s="138" t="s">
        <v>543</v>
      </c>
      <c r="B132" s="139"/>
      <c r="C132" s="140">
        <f>485.75</f>
        <v>485.75</v>
      </c>
    </row>
    <row r="133" spans="1:3" x14ac:dyDescent="0.25">
      <c r="A133" s="138" t="s">
        <v>450</v>
      </c>
      <c r="B133" s="141">
        <f>((((B128)+(B129))+(B130))+(B131))+(B132)</f>
        <v>1046.95</v>
      </c>
      <c r="C133" s="141">
        <f>((((C128)+(C129))+(C130))+(C131))+(C132)</f>
        <v>4875.3099999999995</v>
      </c>
    </row>
    <row r="134" spans="1:3" x14ac:dyDescent="0.25">
      <c r="A134" s="138" t="s">
        <v>247</v>
      </c>
      <c r="B134" s="139"/>
      <c r="C134" s="139"/>
    </row>
    <row r="135" spans="1:3" x14ac:dyDescent="0.25">
      <c r="A135" s="138" t="s">
        <v>248</v>
      </c>
      <c r="B135" s="140">
        <f>-17.65</f>
        <v>-17.649999999999999</v>
      </c>
      <c r="C135" s="140">
        <f>271.07</f>
        <v>271.07</v>
      </c>
    </row>
    <row r="136" spans="1:3" x14ac:dyDescent="0.25">
      <c r="A136" s="138" t="s">
        <v>344</v>
      </c>
      <c r="B136" s="139"/>
      <c r="C136" s="140">
        <f>336.94</f>
        <v>336.94</v>
      </c>
    </row>
    <row r="137" spans="1:3" x14ac:dyDescent="0.25">
      <c r="A137" s="138" t="s">
        <v>547</v>
      </c>
      <c r="B137" s="139"/>
      <c r="C137" s="140">
        <f>128.32</f>
        <v>128.32</v>
      </c>
    </row>
    <row r="138" spans="1:3" x14ac:dyDescent="0.25">
      <c r="A138" s="138" t="s">
        <v>249</v>
      </c>
      <c r="B138" s="141">
        <f>(((B134)+(B135))+(B136))+(B137)</f>
        <v>-17.649999999999999</v>
      </c>
      <c r="C138" s="141">
        <f>(((C134)+(C135))+(C136))+(C137)</f>
        <v>736.32999999999993</v>
      </c>
    </row>
    <row r="139" spans="1:3" x14ac:dyDescent="0.25">
      <c r="A139" s="138" t="s">
        <v>250</v>
      </c>
      <c r="B139" s="141">
        <f>((((B111)+(B123))+(B127))+(B133))+(B138)</f>
        <v>13446.460000000003</v>
      </c>
      <c r="C139" s="141">
        <f>((((C111)+(C123))+(C127))+(C133))+(C138)</f>
        <v>24265.239999999998</v>
      </c>
    </row>
    <row r="140" spans="1:3" x14ac:dyDescent="0.25">
      <c r="A140" s="138" t="s">
        <v>346</v>
      </c>
      <c r="B140" s="139"/>
      <c r="C140" s="139"/>
    </row>
    <row r="141" spans="1:3" x14ac:dyDescent="0.25">
      <c r="A141" s="138" t="s">
        <v>394</v>
      </c>
      <c r="B141" s="140">
        <f>2966.68</f>
        <v>2966.68</v>
      </c>
      <c r="C141" s="139"/>
    </row>
    <row r="142" spans="1:3" x14ac:dyDescent="0.25">
      <c r="A142" s="138" t="s">
        <v>350</v>
      </c>
      <c r="B142" s="140">
        <f>15000</f>
        <v>15000</v>
      </c>
      <c r="C142" s="140">
        <f>15000</f>
        <v>15000</v>
      </c>
    </row>
    <row r="143" spans="1:3" x14ac:dyDescent="0.25">
      <c r="A143" s="138" t="s">
        <v>351</v>
      </c>
      <c r="B143" s="139"/>
      <c r="C143" s="139"/>
    </row>
    <row r="144" spans="1:3" x14ac:dyDescent="0.25">
      <c r="A144" s="138" t="s">
        <v>371</v>
      </c>
      <c r="B144" s="140">
        <f>100</f>
        <v>100</v>
      </c>
      <c r="C144" s="140">
        <f>58.29</f>
        <v>58.29</v>
      </c>
    </row>
    <row r="145" spans="1:3" x14ac:dyDescent="0.25">
      <c r="A145" s="138" t="s">
        <v>352</v>
      </c>
      <c r="B145" s="141">
        <f>(B143)+(B144)</f>
        <v>100</v>
      </c>
      <c r="C145" s="141">
        <f>(C143)+(C144)</f>
        <v>58.29</v>
      </c>
    </row>
    <row r="146" spans="1:3" x14ac:dyDescent="0.25">
      <c r="A146" s="138" t="s">
        <v>353</v>
      </c>
      <c r="B146" s="141">
        <f>(((B140)+(B141))+(B142))+(B145)</f>
        <v>18066.68</v>
      </c>
      <c r="C146" s="141">
        <f>(((C140)+(C141))+(C142))+(C145)</f>
        <v>15058.29</v>
      </c>
    </row>
    <row r="147" spans="1:3" x14ac:dyDescent="0.25">
      <c r="A147" s="138" t="s">
        <v>251</v>
      </c>
      <c r="B147" s="139"/>
      <c r="C147" s="139"/>
    </row>
    <row r="148" spans="1:3" x14ac:dyDescent="0.25">
      <c r="A148" s="138" t="s">
        <v>252</v>
      </c>
      <c r="B148" s="139"/>
      <c r="C148" s="139"/>
    </row>
    <row r="149" spans="1:3" x14ac:dyDescent="0.25">
      <c r="A149" s="138" t="s">
        <v>255</v>
      </c>
      <c r="B149" s="140">
        <f>148.9</f>
        <v>148.9</v>
      </c>
      <c r="C149" s="140">
        <f>142.58</f>
        <v>142.58000000000001</v>
      </c>
    </row>
    <row r="150" spans="1:3" x14ac:dyDescent="0.25">
      <c r="A150" s="138" t="s">
        <v>427</v>
      </c>
      <c r="B150" s="139"/>
      <c r="C150" s="140">
        <f>66</f>
        <v>66</v>
      </c>
    </row>
    <row r="151" spans="1:3" x14ac:dyDescent="0.25">
      <c r="A151" s="138" t="s">
        <v>256</v>
      </c>
      <c r="B151" s="140">
        <f>100</f>
        <v>100</v>
      </c>
      <c r="C151" s="140">
        <f>99.6</f>
        <v>99.6</v>
      </c>
    </row>
    <row r="152" spans="1:3" x14ac:dyDescent="0.25">
      <c r="A152" s="138" t="s">
        <v>259</v>
      </c>
      <c r="B152" s="140">
        <f>1133.17</f>
        <v>1133.17</v>
      </c>
      <c r="C152" s="140">
        <f>755.56</f>
        <v>755.56</v>
      </c>
    </row>
    <row r="153" spans="1:3" x14ac:dyDescent="0.25">
      <c r="A153" s="138" t="s">
        <v>261</v>
      </c>
      <c r="B153" s="140">
        <f>200</f>
        <v>200</v>
      </c>
      <c r="C153" s="140">
        <f>59.35</f>
        <v>59.35</v>
      </c>
    </row>
    <row r="154" spans="1:3" x14ac:dyDescent="0.25">
      <c r="A154" s="138" t="s">
        <v>451</v>
      </c>
      <c r="B154" s="140">
        <f>225</f>
        <v>225</v>
      </c>
      <c r="C154" s="140">
        <f>55</f>
        <v>55</v>
      </c>
    </row>
    <row r="155" spans="1:3" x14ac:dyDescent="0.25">
      <c r="A155" s="138" t="s">
        <v>448</v>
      </c>
      <c r="B155" s="140">
        <f>350</f>
        <v>350</v>
      </c>
      <c r="C155" s="140">
        <f>350</f>
        <v>350</v>
      </c>
    </row>
    <row r="156" spans="1:3" x14ac:dyDescent="0.25">
      <c r="A156" s="138" t="s">
        <v>263</v>
      </c>
      <c r="B156" s="141">
        <f>(((((((B148)+(B149))+(B150))+(B151))+(B152))+(B153))+(B154))+(B155)</f>
        <v>2157.0700000000002</v>
      </c>
      <c r="C156" s="141">
        <f>(((((((C148)+(C149))+(C150))+(C151))+(C152))+(C153))+(C154))+(C155)</f>
        <v>1528.09</v>
      </c>
    </row>
    <row r="157" spans="1:3" x14ac:dyDescent="0.25">
      <c r="A157" s="138" t="s">
        <v>264</v>
      </c>
      <c r="B157" s="139"/>
      <c r="C157" s="139"/>
    </row>
    <row r="158" spans="1:3" x14ac:dyDescent="0.25">
      <c r="A158" s="138" t="s">
        <v>265</v>
      </c>
      <c r="B158" s="140">
        <f>2609.68</f>
        <v>2609.6799999999998</v>
      </c>
      <c r="C158" s="140">
        <f>1298.06</f>
        <v>1298.06</v>
      </c>
    </row>
    <row r="159" spans="1:3" x14ac:dyDescent="0.25">
      <c r="A159" s="138" t="s">
        <v>354</v>
      </c>
      <c r="B159" s="140">
        <f>13661.94</f>
        <v>13661.94</v>
      </c>
      <c r="C159" s="139"/>
    </row>
    <row r="160" spans="1:3" x14ac:dyDescent="0.25">
      <c r="A160" s="138" t="s">
        <v>355</v>
      </c>
      <c r="B160" s="140">
        <f>5956.58</f>
        <v>5956.58</v>
      </c>
      <c r="C160" s="140">
        <f>43143.03</f>
        <v>43143.03</v>
      </c>
    </row>
    <row r="161" spans="1:3" x14ac:dyDescent="0.25">
      <c r="A161" s="138" t="s">
        <v>373</v>
      </c>
      <c r="B161" s="140">
        <f>2500</f>
        <v>2500</v>
      </c>
      <c r="C161" s="140">
        <f>500</f>
        <v>500</v>
      </c>
    </row>
    <row r="162" spans="1:3" x14ac:dyDescent="0.25">
      <c r="A162" s="138" t="s">
        <v>266</v>
      </c>
      <c r="B162" s="140">
        <f>400</f>
        <v>400</v>
      </c>
      <c r="C162" s="140">
        <f>193.6</f>
        <v>193.6</v>
      </c>
    </row>
    <row r="163" spans="1:3" x14ac:dyDescent="0.25">
      <c r="A163" s="138" t="s">
        <v>281</v>
      </c>
      <c r="B163" s="139"/>
      <c r="C163" s="139"/>
    </row>
    <row r="164" spans="1:3" x14ac:dyDescent="0.25">
      <c r="A164" s="138" t="s">
        <v>282</v>
      </c>
      <c r="B164" s="140">
        <f>563.44</f>
        <v>563.44000000000005</v>
      </c>
      <c r="C164" s="140">
        <f>473.64</f>
        <v>473.64</v>
      </c>
    </row>
    <row r="165" spans="1:3" x14ac:dyDescent="0.25">
      <c r="A165" s="138" t="s">
        <v>380</v>
      </c>
      <c r="B165" s="140">
        <f>830</f>
        <v>830</v>
      </c>
      <c r="C165" s="140">
        <f>510</f>
        <v>510</v>
      </c>
    </row>
    <row r="166" spans="1:3" x14ac:dyDescent="0.25">
      <c r="A166" s="138" t="s">
        <v>397</v>
      </c>
      <c r="B166" s="141">
        <f>((B163)+(B164))+(B165)</f>
        <v>1393.44</v>
      </c>
      <c r="C166" s="141">
        <f>((C163)+(C164))+(C165)</f>
        <v>983.64</v>
      </c>
    </row>
    <row r="167" spans="1:3" x14ac:dyDescent="0.25">
      <c r="A167" s="138" t="s">
        <v>267</v>
      </c>
      <c r="B167" s="141">
        <f>((((((B157)+(B158))+(B159))+(B160))+(B161))+(B162))+(B166)</f>
        <v>26521.64</v>
      </c>
      <c r="C167" s="141">
        <f>((((((C157)+(C158))+(C159))+(C160))+(C161))+(C162))+(C166)</f>
        <v>46118.329999999994</v>
      </c>
    </row>
    <row r="168" spans="1:3" x14ac:dyDescent="0.25">
      <c r="A168" s="138" t="s">
        <v>268</v>
      </c>
      <c r="B168" s="141">
        <f>((B147)+(B156))+(B167)</f>
        <v>28678.71</v>
      </c>
      <c r="C168" s="141">
        <f>((C147)+(C156))+(C167)</f>
        <v>47646.419999999991</v>
      </c>
    </row>
    <row r="169" spans="1:3" x14ac:dyDescent="0.25">
      <c r="A169" s="138" t="s">
        <v>269</v>
      </c>
      <c r="B169" s="141">
        <f>(((B110)+(B139))+(B146))+(B168)</f>
        <v>60191.850000000006</v>
      </c>
      <c r="C169" s="141">
        <f>(((C110)+(C139))+(C146))+(C168)</f>
        <v>86969.949999999983</v>
      </c>
    </row>
    <row r="170" spans="1:3" x14ac:dyDescent="0.25">
      <c r="A170" s="138" t="s">
        <v>270</v>
      </c>
      <c r="B170" s="141">
        <f>(B109)+(B169)</f>
        <v>88663.81</v>
      </c>
      <c r="C170" s="141">
        <f>(C109)+(C169)</f>
        <v>115052.36999999998</v>
      </c>
    </row>
    <row r="171" spans="1:3" x14ac:dyDescent="0.25">
      <c r="A171" s="138" t="s">
        <v>271</v>
      </c>
      <c r="B171" s="141">
        <f>(B45)-(B170)</f>
        <v>-30439.880000000005</v>
      </c>
      <c r="C171" s="141">
        <f>(C45)-(C170)</f>
        <v>-39863.949999999997</v>
      </c>
    </row>
    <row r="172" spans="1:3" x14ac:dyDescent="0.25">
      <c r="A172" s="138" t="s">
        <v>8</v>
      </c>
      <c r="B172" s="139"/>
      <c r="C172" s="139"/>
    </row>
    <row r="173" spans="1:3" x14ac:dyDescent="0.25">
      <c r="A173" s="138" t="s">
        <v>272</v>
      </c>
      <c r="B173" s="139"/>
      <c r="C173" s="139"/>
    </row>
    <row r="174" spans="1:3" x14ac:dyDescent="0.25">
      <c r="A174" s="138" t="s">
        <v>703</v>
      </c>
      <c r="B174" s="139"/>
      <c r="C174" s="139"/>
    </row>
    <row r="175" spans="1:3" x14ac:dyDescent="0.25">
      <c r="A175" s="138" t="s">
        <v>704</v>
      </c>
      <c r="B175" s="140">
        <f>24646.77</f>
        <v>24646.77</v>
      </c>
      <c r="C175" s="139"/>
    </row>
    <row r="176" spans="1:3" x14ac:dyDescent="0.25">
      <c r="A176" s="138" t="s">
        <v>705</v>
      </c>
      <c r="B176" s="141">
        <f>(B174)+(B175)</f>
        <v>24646.77</v>
      </c>
      <c r="C176" s="141">
        <f>(C174)+(C175)</f>
        <v>0</v>
      </c>
    </row>
    <row r="177" spans="1:3" x14ac:dyDescent="0.25">
      <c r="A177" s="138" t="s">
        <v>597</v>
      </c>
      <c r="B177" s="139"/>
      <c r="C177" s="139"/>
    </row>
    <row r="178" spans="1:3" x14ac:dyDescent="0.25">
      <c r="A178" s="138" t="s">
        <v>598</v>
      </c>
      <c r="B178" s="140">
        <f>383.38</f>
        <v>383.38</v>
      </c>
      <c r="C178" s="140">
        <f>60.8</f>
        <v>60.8</v>
      </c>
    </row>
    <row r="179" spans="1:3" x14ac:dyDescent="0.25">
      <c r="A179" s="138" t="s">
        <v>599</v>
      </c>
      <c r="B179" s="141">
        <f>(B177)+(B178)</f>
        <v>383.38</v>
      </c>
      <c r="C179" s="141">
        <f>(C177)+(C178)</f>
        <v>60.8</v>
      </c>
    </row>
    <row r="180" spans="1:3" x14ac:dyDescent="0.25">
      <c r="A180" s="138" t="s">
        <v>273</v>
      </c>
      <c r="B180" s="140">
        <f>3231.84</f>
        <v>3231.84</v>
      </c>
      <c r="C180" s="140">
        <f>2674.51</f>
        <v>2674.51</v>
      </c>
    </row>
    <row r="181" spans="1:3" x14ac:dyDescent="0.25">
      <c r="A181" s="138" t="s">
        <v>536</v>
      </c>
      <c r="B181" s="139"/>
      <c r="C181" s="140">
        <f>323.92</f>
        <v>323.92</v>
      </c>
    </row>
    <row r="182" spans="1:3" x14ac:dyDescent="0.25">
      <c r="A182" s="138" t="s">
        <v>274</v>
      </c>
      <c r="B182" s="141">
        <f>((((B173)+(B176))+(B179))+(B180))+(B181)</f>
        <v>28261.99</v>
      </c>
      <c r="C182" s="141">
        <f>((((C173)+(C176))+(C179))+(C180))+(C181)</f>
        <v>3059.2300000000005</v>
      </c>
    </row>
    <row r="183" spans="1:3" x14ac:dyDescent="0.25">
      <c r="A183" s="138" t="s">
        <v>9</v>
      </c>
      <c r="B183" s="141">
        <f>B182</f>
        <v>28261.99</v>
      </c>
      <c r="C183" s="141">
        <f>C182</f>
        <v>3059.2300000000005</v>
      </c>
    </row>
    <row r="184" spans="1:3" x14ac:dyDescent="0.25">
      <c r="A184" s="138" t="s">
        <v>583</v>
      </c>
      <c r="B184" s="139"/>
      <c r="C184" s="139"/>
    </row>
    <row r="185" spans="1:3" x14ac:dyDescent="0.25">
      <c r="A185" s="138" t="s">
        <v>584</v>
      </c>
      <c r="B185" s="139"/>
      <c r="C185" s="139"/>
    </row>
    <row r="186" spans="1:3" x14ac:dyDescent="0.25">
      <c r="A186" s="138" t="s">
        <v>684</v>
      </c>
      <c r="B186" s="140">
        <f>1342.15</f>
        <v>1342.15</v>
      </c>
      <c r="C186" s="139"/>
    </row>
    <row r="187" spans="1:3" x14ac:dyDescent="0.25">
      <c r="A187" s="138" t="s">
        <v>692</v>
      </c>
      <c r="B187" s="140">
        <f>80</f>
        <v>80</v>
      </c>
      <c r="C187" s="139"/>
    </row>
    <row r="188" spans="1:3" x14ac:dyDescent="0.25">
      <c r="A188" s="138" t="s">
        <v>706</v>
      </c>
      <c r="B188" s="139"/>
      <c r="C188" s="140">
        <f>3603.57</f>
        <v>3603.57</v>
      </c>
    </row>
    <row r="189" spans="1:3" x14ac:dyDescent="0.25">
      <c r="A189" s="138" t="s">
        <v>585</v>
      </c>
      <c r="B189" s="141">
        <f>(((B185)+(B186))+(B187))+(B188)</f>
        <v>1422.15</v>
      </c>
      <c r="C189" s="141">
        <f>(((C185)+(C186))+(C187))+(C188)</f>
        <v>3603.57</v>
      </c>
    </row>
    <row r="190" spans="1:3" x14ac:dyDescent="0.25">
      <c r="A190" s="138" t="s">
        <v>586</v>
      </c>
      <c r="B190" s="141">
        <f>B189</f>
        <v>1422.15</v>
      </c>
      <c r="C190" s="141">
        <f>C189</f>
        <v>3603.57</v>
      </c>
    </row>
    <row r="191" spans="1:3" x14ac:dyDescent="0.25">
      <c r="A191" s="138" t="s">
        <v>10</v>
      </c>
      <c r="B191" s="141">
        <f>(B183)-(B190)</f>
        <v>26839.84</v>
      </c>
      <c r="C191" s="141">
        <f>(C183)-(C190)</f>
        <v>-544.33999999999969</v>
      </c>
    </row>
    <row r="192" spans="1:3" x14ac:dyDescent="0.25">
      <c r="A192" s="138" t="s">
        <v>3</v>
      </c>
      <c r="B192" s="141">
        <f>(B171)+(B191)</f>
        <v>-3600.0400000000045</v>
      </c>
      <c r="C192" s="141">
        <f>(C171)+(C191)</f>
        <v>-40408.289999999994</v>
      </c>
    </row>
    <row r="193" spans="1:3" x14ac:dyDescent="0.25">
      <c r="A193" s="138"/>
      <c r="B193" s="139"/>
      <c r="C193" s="139"/>
    </row>
    <row r="196" spans="1:3" x14ac:dyDescent="0.25">
      <c r="A196" s="273" t="s">
        <v>707</v>
      </c>
      <c r="B196" s="269"/>
      <c r="C196" s="269"/>
    </row>
  </sheetData>
  <mergeCells count="5">
    <mergeCell ref="A196:C196"/>
    <mergeCell ref="A1:C1"/>
    <mergeCell ref="A2:C2"/>
    <mergeCell ref="A3:C3"/>
    <mergeCell ref="B5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6"/>
  <sheetViews>
    <sheetView zoomScaleNormal="100" workbookViewId="0">
      <selection sqref="A1:C1"/>
    </sheetView>
  </sheetViews>
  <sheetFormatPr defaultColWidth="8.85546875" defaultRowHeight="15" x14ac:dyDescent="0.25"/>
  <cols>
    <col min="1" max="1" width="37.7109375" customWidth="1"/>
    <col min="2" max="2" width="16.7109375" customWidth="1"/>
    <col min="3" max="3" width="14.7109375" customWidth="1"/>
    <col min="6" max="6" width="9.42578125" bestFit="1" customWidth="1"/>
    <col min="8" max="8" width="9.42578125" bestFit="1" customWidth="1"/>
    <col min="10" max="10" width="28.85546875" customWidth="1"/>
    <col min="11" max="11" width="28.7109375" customWidth="1"/>
  </cols>
  <sheetData>
    <row r="1" spans="1:3" ht="18" x14ac:dyDescent="0.25">
      <c r="A1" s="274" t="s">
        <v>63</v>
      </c>
      <c r="B1" s="274"/>
      <c r="C1" s="274"/>
    </row>
    <row r="2" spans="1:3" ht="18" x14ac:dyDescent="0.25">
      <c r="A2" s="274" t="s">
        <v>683</v>
      </c>
      <c r="B2" s="274"/>
      <c r="C2" s="274"/>
    </row>
    <row r="3" spans="1:3" x14ac:dyDescent="0.25">
      <c r="A3" s="275" t="s">
        <v>693</v>
      </c>
      <c r="B3" s="275"/>
      <c r="C3" s="275"/>
    </row>
    <row r="5" spans="1:3" x14ac:dyDescent="0.25">
      <c r="A5" s="11"/>
      <c r="B5" s="11"/>
      <c r="C5" s="10" t="s">
        <v>386</v>
      </c>
    </row>
    <row r="6" spans="1:3" x14ac:dyDescent="0.25">
      <c r="A6" s="7" t="s">
        <v>0</v>
      </c>
      <c r="B6" s="7"/>
      <c r="C6" s="8"/>
    </row>
    <row r="7" spans="1:3" x14ac:dyDescent="0.25">
      <c r="A7" s="7" t="s">
        <v>178</v>
      </c>
      <c r="B7" s="7"/>
      <c r="C7" s="8"/>
    </row>
    <row r="8" spans="1:3" x14ac:dyDescent="0.25">
      <c r="A8" s="7" t="s">
        <v>179</v>
      </c>
      <c r="B8" s="7"/>
      <c r="C8" s="8"/>
    </row>
    <row r="9" spans="1:3" x14ac:dyDescent="0.25">
      <c r="A9" s="7" t="s">
        <v>180</v>
      </c>
      <c r="B9" s="6">
        <v>136826.22</v>
      </c>
      <c r="C9" s="6">
        <v>159000</v>
      </c>
    </row>
    <row r="10" spans="1:3" x14ac:dyDescent="0.25">
      <c r="A10" s="7" t="s">
        <v>653</v>
      </c>
      <c r="B10" s="6">
        <v>-125168.79</v>
      </c>
      <c r="C10" s="6"/>
    </row>
    <row r="11" spans="1:3" x14ac:dyDescent="0.25">
      <c r="A11" s="7" t="s">
        <v>182</v>
      </c>
      <c r="B11" s="9">
        <f>SUM(B9:B10)</f>
        <v>11657.430000000008</v>
      </c>
      <c r="C11" s="9">
        <f>(C8)+(C9)</f>
        <v>159000</v>
      </c>
    </row>
    <row r="12" spans="1:3" x14ac:dyDescent="0.25">
      <c r="A12" s="7" t="s">
        <v>366</v>
      </c>
      <c r="B12" s="8"/>
      <c r="C12" s="8"/>
    </row>
    <row r="13" spans="1:3" x14ac:dyDescent="0.25">
      <c r="A13" s="7" t="s">
        <v>183</v>
      </c>
      <c r="B13" s="8"/>
      <c r="C13" s="8"/>
    </row>
    <row r="14" spans="1:3" x14ac:dyDescent="0.25">
      <c r="A14" s="7" t="s">
        <v>184</v>
      </c>
      <c r="B14" s="6">
        <v>187651.8</v>
      </c>
      <c r="C14" s="6">
        <v>174800</v>
      </c>
    </row>
    <row r="15" spans="1:3" x14ac:dyDescent="0.25">
      <c r="A15" s="115" t="s">
        <v>185</v>
      </c>
      <c r="B15" s="6">
        <v>-170189.54</v>
      </c>
      <c r="C15" s="6"/>
    </row>
    <row r="16" spans="1:3" x14ac:dyDescent="0.25">
      <c r="A16" s="7" t="s">
        <v>186</v>
      </c>
      <c r="B16" s="9">
        <f>SUM(B14:B15)</f>
        <v>17462.25999999998</v>
      </c>
      <c r="C16" s="9">
        <f>(C13)+(C14)</f>
        <v>174800</v>
      </c>
    </row>
    <row r="17" spans="1:3" x14ac:dyDescent="0.25">
      <c r="A17" s="7" t="s">
        <v>367</v>
      </c>
      <c r="B17" s="9">
        <f>(B12)+(B16)</f>
        <v>17462.25999999998</v>
      </c>
      <c r="C17" s="9">
        <f>(C12)+(C16)</f>
        <v>174800</v>
      </c>
    </row>
    <row r="18" spans="1:3" x14ac:dyDescent="0.25">
      <c r="A18" s="7" t="s">
        <v>187</v>
      </c>
      <c r="B18" s="8"/>
      <c r="C18" s="8"/>
    </row>
    <row r="19" spans="1:3" x14ac:dyDescent="0.25">
      <c r="A19" s="7" t="s">
        <v>188</v>
      </c>
      <c r="B19" s="8"/>
      <c r="C19" s="8"/>
    </row>
    <row r="20" spans="1:3" x14ac:dyDescent="0.25">
      <c r="A20" s="7" t="s">
        <v>189</v>
      </c>
      <c r="B20" s="6"/>
      <c r="C20" s="6">
        <v>0</v>
      </c>
    </row>
    <row r="21" spans="1:3" x14ac:dyDescent="0.25">
      <c r="A21" s="7" t="s">
        <v>190</v>
      </c>
      <c r="B21" s="9">
        <f>(B19)+(B20)</f>
        <v>0</v>
      </c>
      <c r="C21" s="9">
        <f>(C19)+(C20)</f>
        <v>0</v>
      </c>
    </row>
    <row r="22" spans="1:3" x14ac:dyDescent="0.25">
      <c r="A22" s="7" t="s">
        <v>605</v>
      </c>
      <c r="B22" s="33"/>
      <c r="C22" s="33"/>
    </row>
    <row r="23" spans="1:3" x14ac:dyDescent="0.25">
      <c r="A23" s="7" t="s">
        <v>191</v>
      </c>
      <c r="B23" s="8"/>
      <c r="C23" s="8"/>
    </row>
    <row r="24" spans="1:3" x14ac:dyDescent="0.25">
      <c r="A24" s="7" t="s">
        <v>408</v>
      </c>
      <c r="B24" s="8">
        <v>0.9</v>
      </c>
      <c r="C24" s="8">
        <v>100</v>
      </c>
    </row>
    <row r="25" spans="1:3" x14ac:dyDescent="0.25">
      <c r="A25" s="7" t="s">
        <v>567</v>
      </c>
      <c r="B25" s="8">
        <v>1159</v>
      </c>
    </row>
    <row r="26" spans="1:3" x14ac:dyDescent="0.25">
      <c r="A26" s="7" t="s">
        <v>606</v>
      </c>
      <c r="B26" s="6"/>
      <c r="C26" s="6">
        <v>5000</v>
      </c>
    </row>
    <row r="27" spans="1:3" x14ac:dyDescent="0.25">
      <c r="A27" s="7" t="s">
        <v>192</v>
      </c>
      <c r="B27" s="9">
        <f>SUM(B24:B26)</f>
        <v>1159.9000000000001</v>
      </c>
      <c r="C27" s="9">
        <f>SUM(C24:C26)</f>
        <v>5100</v>
      </c>
    </row>
    <row r="28" spans="1:3" x14ac:dyDescent="0.25">
      <c r="A28" s="7" t="s">
        <v>193</v>
      </c>
      <c r="B28" s="9">
        <f>((B18)+(B21))+(B27)</f>
        <v>1159.9000000000001</v>
      </c>
      <c r="C28" s="9">
        <f>((C18)+(C21))+(C27)</f>
        <v>5100</v>
      </c>
    </row>
    <row r="29" spans="1:3" x14ac:dyDescent="0.25">
      <c r="A29" s="7"/>
      <c r="B29" s="6"/>
      <c r="C29" s="6"/>
    </row>
    <row r="30" spans="1:3" x14ac:dyDescent="0.25">
      <c r="A30" s="7"/>
      <c r="B30" s="6"/>
      <c r="C30" s="6"/>
    </row>
    <row r="31" spans="1:3" x14ac:dyDescent="0.25">
      <c r="A31" s="7" t="s">
        <v>194</v>
      </c>
      <c r="B31" s="9">
        <f>B11+B17+B22+B28</f>
        <v>30279.589999999989</v>
      </c>
      <c r="C31" s="9">
        <f>(((((C7)+(C11))+(C17))+(C28))+(C29))+(C30)</f>
        <v>338900</v>
      </c>
    </row>
    <row r="32" spans="1:3" x14ac:dyDescent="0.25">
      <c r="A32" s="7" t="s">
        <v>1</v>
      </c>
      <c r="B32" s="9"/>
      <c r="C32" s="9">
        <f>C31</f>
        <v>338900</v>
      </c>
    </row>
    <row r="33" spans="1:3" x14ac:dyDescent="0.25">
      <c r="A33" s="7" t="s">
        <v>2</v>
      </c>
      <c r="B33" s="9">
        <f>B31</f>
        <v>30279.589999999989</v>
      </c>
      <c r="C33" s="73">
        <f>(C32)-(0)</f>
        <v>338900</v>
      </c>
    </row>
    <row r="34" spans="1:3" x14ac:dyDescent="0.25">
      <c r="A34" s="7" t="s">
        <v>208</v>
      </c>
      <c r="B34" s="8"/>
      <c r="C34" s="8"/>
    </row>
    <row r="35" spans="1:3" x14ac:dyDescent="0.25">
      <c r="A35" s="7" t="s">
        <v>239</v>
      </c>
      <c r="B35" s="8"/>
      <c r="C35" s="8"/>
    </row>
    <row r="36" spans="1:3" x14ac:dyDescent="0.25">
      <c r="A36" s="7" t="s">
        <v>240</v>
      </c>
      <c r="B36" s="8"/>
      <c r="C36" s="8"/>
    </row>
    <row r="37" spans="1:3" x14ac:dyDescent="0.25">
      <c r="A37" s="7" t="s">
        <v>241</v>
      </c>
      <c r="B37" s="8"/>
      <c r="C37" s="8"/>
    </row>
    <row r="38" spans="1:3" x14ac:dyDescent="0.25">
      <c r="A38" s="7" t="s">
        <v>389</v>
      </c>
      <c r="B38" s="8"/>
      <c r="C38" s="8"/>
    </row>
    <row r="39" spans="1:3" x14ac:dyDescent="0.25">
      <c r="A39" s="7" t="s">
        <v>400</v>
      </c>
      <c r="B39" s="107">
        <v>4212.97</v>
      </c>
      <c r="C39" s="6">
        <v>35000</v>
      </c>
    </row>
    <row r="40" spans="1:3" x14ac:dyDescent="0.25">
      <c r="A40" s="7" t="s">
        <v>396</v>
      </c>
      <c r="B40" s="71">
        <v>485.77</v>
      </c>
      <c r="C40">
        <v>4137.12</v>
      </c>
    </row>
    <row r="41" spans="1:3" x14ac:dyDescent="0.25">
      <c r="A41" s="7" t="s">
        <v>500</v>
      </c>
      <c r="B41" s="6">
        <v>2137.02</v>
      </c>
      <c r="C41" s="6">
        <v>17000</v>
      </c>
    </row>
    <row r="42" spans="1:3" x14ac:dyDescent="0.25">
      <c r="A42" s="7" t="s">
        <v>532</v>
      </c>
      <c r="B42" s="6">
        <v>-113.45</v>
      </c>
      <c r="C42" s="6"/>
    </row>
    <row r="43" spans="1:3" x14ac:dyDescent="0.25">
      <c r="A43" s="7" t="s">
        <v>489</v>
      </c>
      <c r="B43" s="89"/>
      <c r="C43" s="6">
        <v>21091.200000000001</v>
      </c>
    </row>
    <row r="44" spans="1:3" x14ac:dyDescent="0.25">
      <c r="A44" s="7" t="s">
        <v>391</v>
      </c>
      <c r="B44" s="89">
        <v>2852.56</v>
      </c>
      <c r="C44" s="6">
        <v>3080</v>
      </c>
    </row>
    <row r="45" spans="1:3" x14ac:dyDescent="0.25">
      <c r="A45" s="7" t="s">
        <v>542</v>
      </c>
      <c r="B45" s="89"/>
      <c r="C45" s="6"/>
    </row>
    <row r="46" spans="1:3" x14ac:dyDescent="0.25">
      <c r="A46" s="7" t="s">
        <v>442</v>
      </c>
      <c r="B46" s="89">
        <v>33.36</v>
      </c>
      <c r="C46" s="6">
        <v>5000</v>
      </c>
    </row>
    <row r="47" spans="1:3" ht="14.45" customHeight="1" x14ac:dyDescent="0.25">
      <c r="A47" s="7" t="s">
        <v>453</v>
      </c>
      <c r="B47" s="6">
        <v>984.9</v>
      </c>
      <c r="C47" s="6">
        <v>0</v>
      </c>
    </row>
    <row r="48" spans="1:3" ht="14.45" customHeight="1" x14ac:dyDescent="0.25">
      <c r="A48" s="7" t="s">
        <v>573</v>
      </c>
      <c r="B48" s="6"/>
      <c r="C48" s="6">
        <v>1300</v>
      </c>
    </row>
    <row r="49" spans="1:4" x14ac:dyDescent="0.25">
      <c r="A49" s="7" t="s">
        <v>406</v>
      </c>
      <c r="B49" s="6"/>
      <c r="C49" s="6"/>
    </row>
    <row r="50" spans="1:4" ht="11.45" customHeight="1" x14ac:dyDescent="0.25">
      <c r="A50" s="7"/>
      <c r="B50" s="6"/>
      <c r="C50" s="6"/>
    </row>
    <row r="51" spans="1:4" x14ac:dyDescent="0.25">
      <c r="A51" s="7" t="s">
        <v>390</v>
      </c>
      <c r="B51" s="9">
        <f>SUM(B39:B50)</f>
        <v>10593.130000000001</v>
      </c>
      <c r="C51" s="9">
        <f>SUM(C38:C50)</f>
        <v>86608.320000000007</v>
      </c>
    </row>
    <row r="52" spans="1:4" x14ac:dyDescent="0.25">
      <c r="A52" s="7" t="s">
        <v>242</v>
      </c>
      <c r="B52" s="9">
        <f>(B37)+(B51)</f>
        <v>10593.130000000001</v>
      </c>
      <c r="C52" s="9">
        <f>(C37)+(C51)</f>
        <v>86608.320000000007</v>
      </c>
    </row>
    <row r="53" spans="1:4" x14ac:dyDescent="0.25">
      <c r="A53" s="7" t="s">
        <v>243</v>
      </c>
      <c r="B53" s="8"/>
      <c r="C53" s="8"/>
    </row>
    <row r="54" spans="1:4" x14ac:dyDescent="0.25">
      <c r="A54" s="7" t="s">
        <v>244</v>
      </c>
      <c r="B54" s="89">
        <v>1652.36</v>
      </c>
      <c r="C54" s="6">
        <v>15621.72</v>
      </c>
    </row>
    <row r="55" spans="1:4" x14ac:dyDescent="0.25">
      <c r="A55" s="7" t="s">
        <v>482</v>
      </c>
      <c r="B55" s="89"/>
      <c r="C55" s="6">
        <v>2311.1999999999998</v>
      </c>
    </row>
    <row r="56" spans="1:4" x14ac:dyDescent="0.25">
      <c r="A56" s="7" t="s">
        <v>407</v>
      </c>
      <c r="B56" s="89">
        <v>171.67</v>
      </c>
      <c r="C56" s="6">
        <v>1326.05</v>
      </c>
    </row>
    <row r="57" spans="1:4" x14ac:dyDescent="0.25">
      <c r="A57" s="7" t="s">
        <v>343</v>
      </c>
      <c r="B57" s="89"/>
      <c r="C57" s="6">
        <v>1700</v>
      </c>
    </row>
    <row r="58" spans="1:4" x14ac:dyDescent="0.25">
      <c r="A58" s="7"/>
      <c r="B58" s="6"/>
    </row>
    <row r="59" spans="1:4" x14ac:dyDescent="0.25">
      <c r="A59" s="7" t="s">
        <v>245</v>
      </c>
      <c r="B59" s="9">
        <f>SUM(B54:B58)</f>
        <v>1824.03</v>
      </c>
      <c r="C59" s="9">
        <f>SUM(C54:C57)</f>
        <v>20958.969999999998</v>
      </c>
    </row>
    <row r="60" spans="1:4" x14ac:dyDescent="0.25">
      <c r="A60" s="7" t="s">
        <v>443</v>
      </c>
      <c r="B60" s="8"/>
      <c r="C60" s="8"/>
    </row>
    <row r="61" spans="1:4" x14ac:dyDescent="0.25">
      <c r="A61" s="7" t="s">
        <v>444</v>
      </c>
      <c r="B61" s="83"/>
      <c r="C61" s="6">
        <v>22144.2</v>
      </c>
    </row>
    <row r="62" spans="1:4" ht="23.25" x14ac:dyDescent="0.25">
      <c r="A62" s="121" t="s">
        <v>445</v>
      </c>
      <c r="B62" s="136">
        <v>590.51</v>
      </c>
      <c r="C62" s="119">
        <v>11072.1</v>
      </c>
      <c r="D62" s="122"/>
    </row>
    <row r="63" spans="1:4" x14ac:dyDescent="0.25">
      <c r="A63" s="121" t="s">
        <v>446</v>
      </c>
      <c r="B63" s="119">
        <v>456.44</v>
      </c>
      <c r="C63" s="119">
        <v>2541.0500000000002</v>
      </c>
      <c r="D63" s="122"/>
    </row>
    <row r="64" spans="1:4" x14ac:dyDescent="0.25">
      <c r="A64" s="7" t="s">
        <v>246</v>
      </c>
      <c r="B64" s="6"/>
      <c r="C64" s="6"/>
    </row>
    <row r="65" spans="1:6" x14ac:dyDescent="0.25">
      <c r="A65" s="7" t="s">
        <v>531</v>
      </c>
      <c r="B65" s="6"/>
      <c r="C65" s="6">
        <v>1200</v>
      </c>
    </row>
    <row r="66" spans="1:6" x14ac:dyDescent="0.25">
      <c r="A66" s="7" t="s">
        <v>357</v>
      </c>
      <c r="B66" s="6"/>
      <c r="C66" s="6">
        <v>1000</v>
      </c>
      <c r="F66" s="51"/>
    </row>
    <row r="67" spans="1:6" x14ac:dyDescent="0.25">
      <c r="A67" s="7" t="s">
        <v>428</v>
      </c>
      <c r="B67" s="9">
        <f>SUM(B61:B66)</f>
        <v>1046.95</v>
      </c>
      <c r="C67" s="9">
        <f>SUM(C61:C66)</f>
        <v>37957.350000000006</v>
      </c>
    </row>
    <row r="68" spans="1:6" x14ac:dyDescent="0.25">
      <c r="B68" s="8"/>
      <c r="C68" s="8"/>
    </row>
    <row r="69" spans="1:6" x14ac:dyDescent="0.25">
      <c r="A69" s="7"/>
      <c r="B69" s="33"/>
      <c r="C69" s="33"/>
    </row>
    <row r="70" spans="1:6" x14ac:dyDescent="0.25">
      <c r="A70" s="7" t="s">
        <v>247</v>
      </c>
      <c r="B70" s="8"/>
      <c r="C70" s="8"/>
    </row>
    <row r="71" spans="1:6" x14ac:dyDescent="0.25">
      <c r="A71" s="7" t="s">
        <v>248</v>
      </c>
      <c r="B71" s="6">
        <v>-17.649999999999999</v>
      </c>
      <c r="C71" s="6">
        <v>550</v>
      </c>
    </row>
    <row r="72" spans="1:6" x14ac:dyDescent="0.25">
      <c r="A72" s="7" t="s">
        <v>344</v>
      </c>
      <c r="B72" s="6"/>
      <c r="C72" s="6">
        <v>2485</v>
      </c>
    </row>
    <row r="73" spans="1:6" x14ac:dyDescent="0.25">
      <c r="A73" s="7" t="s">
        <v>538</v>
      </c>
      <c r="B73" s="6"/>
      <c r="C73" s="6"/>
    </row>
    <row r="74" spans="1:6" x14ac:dyDescent="0.25">
      <c r="A74" s="7" t="s">
        <v>546</v>
      </c>
      <c r="B74" s="6"/>
      <c r="C74" s="6"/>
    </row>
    <row r="75" spans="1:6" x14ac:dyDescent="0.25">
      <c r="A75" s="7" t="s">
        <v>537</v>
      </c>
      <c r="B75" s="6"/>
      <c r="C75" s="6"/>
    </row>
    <row r="76" spans="1:6" x14ac:dyDescent="0.25">
      <c r="A76" s="7" t="s">
        <v>345</v>
      </c>
      <c r="B76" s="6"/>
      <c r="C76" s="6"/>
    </row>
    <row r="77" spans="1:6" x14ac:dyDescent="0.25">
      <c r="A77" s="7" t="s">
        <v>249</v>
      </c>
      <c r="B77" s="9">
        <f>SUM(B71:B76)</f>
        <v>-17.649999999999999</v>
      </c>
      <c r="C77" s="9">
        <f>(((C70)+(C71))+(C72))+(C76)</f>
        <v>3035</v>
      </c>
    </row>
    <row r="78" spans="1:6" x14ac:dyDescent="0.25">
      <c r="A78" s="7" t="s">
        <v>250</v>
      </c>
      <c r="B78" s="9">
        <f>B52+B59+B67+B77</f>
        <v>13446.460000000003</v>
      </c>
      <c r="C78" s="9">
        <f>((((C36)+(C52))+(C59))+(C67))+(C77)</f>
        <v>148559.64000000001</v>
      </c>
    </row>
    <row r="79" spans="1:6" x14ac:dyDescent="0.25">
      <c r="A79" s="7" t="s">
        <v>346</v>
      </c>
      <c r="B79" s="8"/>
      <c r="C79" s="8"/>
    </row>
    <row r="80" spans="1:6" x14ac:dyDescent="0.25">
      <c r="A80" s="7" t="s">
        <v>347</v>
      </c>
      <c r="B80" s="8"/>
      <c r="C80" s="8"/>
    </row>
    <row r="81" spans="1:5" x14ac:dyDescent="0.25">
      <c r="A81" s="7" t="s">
        <v>348</v>
      </c>
      <c r="B81" s="6">
        <v>0</v>
      </c>
      <c r="C81" s="6">
        <v>4000</v>
      </c>
      <c r="E81" s="1"/>
    </row>
    <row r="82" spans="1:5" ht="23.25" x14ac:dyDescent="0.25">
      <c r="A82" s="7" t="s">
        <v>349</v>
      </c>
      <c r="B82" s="9">
        <f>(B80)+(B81)</f>
        <v>0</v>
      </c>
      <c r="C82" s="9">
        <f>(C80)+(C81)</f>
        <v>4000</v>
      </c>
    </row>
    <row r="83" spans="1:5" x14ac:dyDescent="0.25">
      <c r="A83" s="7" t="s">
        <v>394</v>
      </c>
      <c r="B83" s="6">
        <v>2966.68</v>
      </c>
      <c r="C83" s="6"/>
    </row>
    <row r="84" spans="1:5" ht="18.600000000000001" customHeight="1" x14ac:dyDescent="0.25">
      <c r="A84" s="7" t="s">
        <v>467</v>
      </c>
      <c r="B84" s="6"/>
      <c r="C84" s="6"/>
    </row>
    <row r="85" spans="1:5" x14ac:dyDescent="0.25">
      <c r="A85" s="121" t="s">
        <v>350</v>
      </c>
      <c r="B85" s="119">
        <v>15000</v>
      </c>
      <c r="C85" s="119">
        <v>90000</v>
      </c>
    </row>
    <row r="86" spans="1:5" x14ac:dyDescent="0.25">
      <c r="A86" s="7" t="s">
        <v>483</v>
      </c>
      <c r="B86" s="6"/>
      <c r="C86" s="6"/>
    </row>
    <row r="87" spans="1:5" x14ac:dyDescent="0.25">
      <c r="A87" s="7" t="s">
        <v>351</v>
      </c>
      <c r="B87" s="8"/>
      <c r="C87" s="8"/>
    </row>
    <row r="88" spans="1:5" x14ac:dyDescent="0.25">
      <c r="A88" s="7" t="s">
        <v>530</v>
      </c>
      <c r="B88" s="8"/>
      <c r="C88" s="8"/>
    </row>
    <row r="89" spans="1:5" x14ac:dyDescent="0.25">
      <c r="A89" s="7" t="s">
        <v>369</v>
      </c>
      <c r="B89" s="6"/>
      <c r="C89" s="6">
        <v>2000</v>
      </c>
    </row>
    <row r="90" spans="1:5" x14ac:dyDescent="0.25">
      <c r="A90" s="7" t="s">
        <v>370</v>
      </c>
      <c r="B90" s="6"/>
      <c r="C90" s="6">
        <v>2000</v>
      </c>
      <c r="E90" s="1"/>
    </row>
    <row r="91" spans="1:5" x14ac:dyDescent="0.25">
      <c r="A91" s="7" t="s">
        <v>371</v>
      </c>
      <c r="B91" s="6">
        <v>100</v>
      </c>
      <c r="C91" s="6">
        <v>1000</v>
      </c>
    </row>
    <row r="92" spans="1:5" ht="23.25" x14ac:dyDescent="0.25">
      <c r="A92" s="7" t="s">
        <v>352</v>
      </c>
      <c r="B92" s="9">
        <f>(((B87)+(B89))+(B90))+(B91)</f>
        <v>100</v>
      </c>
      <c r="C92" s="9">
        <f>SUM(C88:C91)</f>
        <v>5000</v>
      </c>
    </row>
    <row r="93" spans="1:5" x14ac:dyDescent="0.25">
      <c r="A93" s="7" t="s">
        <v>353</v>
      </c>
      <c r="B93" s="9">
        <f>(((((B79)+(B82))+(B83))+(B84))+(B85))+B86+(B92)</f>
        <v>18066.68</v>
      </c>
      <c r="C93" s="9">
        <f>(((((C79)+(C82))+(C83))+(C84))+(C85))+(C92)</f>
        <v>99000</v>
      </c>
    </row>
    <row r="94" spans="1:5" x14ac:dyDescent="0.25">
      <c r="A94" s="7" t="s">
        <v>251</v>
      </c>
      <c r="B94" s="8"/>
      <c r="C94" s="8"/>
    </row>
    <row r="95" spans="1:5" x14ac:dyDescent="0.25">
      <c r="A95" s="7" t="s">
        <v>252</v>
      </c>
      <c r="B95" s="8"/>
      <c r="C95" s="8"/>
    </row>
    <row r="96" spans="1:5" x14ac:dyDescent="0.25">
      <c r="A96" s="7" t="s">
        <v>253</v>
      </c>
      <c r="B96" s="6"/>
      <c r="C96" s="6"/>
    </row>
    <row r="97" spans="1:3" x14ac:dyDescent="0.25">
      <c r="A97" s="7" t="s">
        <v>254</v>
      </c>
      <c r="B97" s="13"/>
      <c r="C97" s="6">
        <v>0</v>
      </c>
    </row>
    <row r="98" spans="1:3" x14ac:dyDescent="0.25">
      <c r="A98" s="7" t="s">
        <v>255</v>
      </c>
      <c r="B98" s="6">
        <v>148.9</v>
      </c>
      <c r="C98" s="6">
        <v>900</v>
      </c>
    </row>
    <row r="99" spans="1:3" x14ac:dyDescent="0.25">
      <c r="A99" s="7" t="s">
        <v>427</v>
      </c>
      <c r="B99" s="6"/>
      <c r="C99" s="6">
        <v>100</v>
      </c>
    </row>
    <row r="100" spans="1:3" x14ac:dyDescent="0.25">
      <c r="A100" s="7" t="s">
        <v>256</v>
      </c>
      <c r="B100" s="6">
        <v>100</v>
      </c>
      <c r="C100" s="6">
        <v>700</v>
      </c>
    </row>
    <row r="101" spans="1:3" ht="23.25" x14ac:dyDescent="0.25">
      <c r="A101" s="7" t="s">
        <v>257</v>
      </c>
      <c r="B101" s="6"/>
      <c r="C101" s="6"/>
    </row>
    <row r="102" spans="1:3" x14ac:dyDescent="0.25">
      <c r="A102" s="7" t="s">
        <v>258</v>
      </c>
      <c r="B102" s="74"/>
      <c r="C102" s="6">
        <v>2000</v>
      </c>
    </row>
    <row r="103" spans="1:3" x14ac:dyDescent="0.25">
      <c r="A103" s="7" t="s">
        <v>259</v>
      </c>
      <c r="B103" s="89">
        <v>1133.17</v>
      </c>
      <c r="C103" s="6">
        <v>6000</v>
      </c>
    </row>
    <row r="104" spans="1:3" x14ac:dyDescent="0.25">
      <c r="A104" s="7" t="s">
        <v>372</v>
      </c>
      <c r="B104" s="89"/>
      <c r="C104" s="6">
        <v>1000</v>
      </c>
    </row>
    <row r="105" spans="1:3" x14ac:dyDescent="0.25">
      <c r="A105" s="7" t="s">
        <v>260</v>
      </c>
      <c r="B105" s="6"/>
      <c r="C105" s="6">
        <v>615</v>
      </c>
    </row>
    <row r="106" spans="1:3" x14ac:dyDescent="0.25">
      <c r="A106" s="7" t="s">
        <v>261</v>
      </c>
      <c r="B106" s="74">
        <v>200</v>
      </c>
      <c r="C106" s="6">
        <v>2000</v>
      </c>
    </row>
    <row r="107" spans="1:3" x14ac:dyDescent="0.25">
      <c r="A107" s="7" t="s">
        <v>447</v>
      </c>
      <c r="B107" s="6">
        <v>225</v>
      </c>
      <c r="C107" s="6">
        <v>1050</v>
      </c>
    </row>
    <row r="108" spans="1:3" x14ac:dyDescent="0.25">
      <c r="A108" s="7" t="s">
        <v>379</v>
      </c>
      <c r="B108" s="6"/>
      <c r="C108" s="6">
        <v>3000</v>
      </c>
    </row>
    <row r="109" spans="1:3" x14ac:dyDescent="0.25">
      <c r="A109" s="7" t="s">
        <v>575</v>
      </c>
      <c r="B109" s="6"/>
      <c r="C109" s="6">
        <v>3204</v>
      </c>
    </row>
    <row r="110" spans="1:3" x14ac:dyDescent="0.25">
      <c r="A110" s="7" t="s">
        <v>448</v>
      </c>
      <c r="B110" s="6">
        <v>350</v>
      </c>
      <c r="C110" s="6">
        <v>1050</v>
      </c>
    </row>
    <row r="111" spans="1:3" x14ac:dyDescent="0.25">
      <c r="A111" s="7" t="s">
        <v>484</v>
      </c>
      <c r="B111" s="6"/>
      <c r="C111" s="6"/>
    </row>
    <row r="112" spans="1:3" x14ac:dyDescent="0.25">
      <c r="A112" s="7" t="s">
        <v>262</v>
      </c>
      <c r="B112" s="6"/>
      <c r="C112" s="6"/>
    </row>
    <row r="113" spans="1:8" x14ac:dyDescent="0.25">
      <c r="A113" s="7" t="s">
        <v>263</v>
      </c>
      <c r="B113" s="9">
        <f>SUM(B96:B112)</f>
        <v>2157.0700000000002</v>
      </c>
      <c r="C113" s="9">
        <f>SUM(C96:C112)</f>
        <v>21619</v>
      </c>
      <c r="H113" s="51"/>
    </row>
    <row r="114" spans="1:8" x14ac:dyDescent="0.25">
      <c r="A114" s="7" t="s">
        <v>264</v>
      </c>
      <c r="B114" s="8"/>
      <c r="C114" s="8"/>
    </row>
    <row r="115" spans="1:8" x14ac:dyDescent="0.25">
      <c r="A115" s="7" t="s">
        <v>265</v>
      </c>
      <c r="B115" s="6">
        <v>2609.6799999999998</v>
      </c>
      <c r="C115" s="6">
        <v>5000</v>
      </c>
    </row>
    <row r="116" spans="1:8" x14ac:dyDescent="0.25">
      <c r="A116" s="7" t="s">
        <v>354</v>
      </c>
      <c r="B116" s="6">
        <v>13661.94</v>
      </c>
      <c r="C116" s="6">
        <v>14858</v>
      </c>
    </row>
    <row r="117" spans="1:8" x14ac:dyDescent="0.25">
      <c r="A117" s="7" t="s">
        <v>355</v>
      </c>
      <c r="B117" s="6">
        <v>5956.58</v>
      </c>
      <c r="C117" s="6">
        <v>31394.080000000002</v>
      </c>
    </row>
    <row r="118" spans="1:8" x14ac:dyDescent="0.25">
      <c r="A118" s="7" t="s">
        <v>373</v>
      </c>
      <c r="B118" s="6">
        <v>2500</v>
      </c>
      <c r="C118" s="6">
        <v>10000</v>
      </c>
    </row>
    <row r="119" spans="1:8" x14ac:dyDescent="0.25">
      <c r="A119" s="7" t="s">
        <v>266</v>
      </c>
      <c r="B119" s="6">
        <v>400</v>
      </c>
      <c r="C119" s="6">
        <v>5000</v>
      </c>
    </row>
    <row r="120" spans="1:8" x14ac:dyDescent="0.25">
      <c r="A120" s="7" t="s">
        <v>356</v>
      </c>
      <c r="B120" s="6"/>
      <c r="C120" s="6">
        <v>500</v>
      </c>
    </row>
    <row r="121" spans="1:8" x14ac:dyDescent="0.25">
      <c r="A121" s="7" t="s">
        <v>431</v>
      </c>
      <c r="B121" s="6"/>
      <c r="C121" s="6"/>
    </row>
    <row r="122" spans="1:8" x14ac:dyDescent="0.25">
      <c r="A122" s="7" t="s">
        <v>617</v>
      </c>
      <c r="B122" s="6"/>
      <c r="C122" s="6"/>
    </row>
    <row r="123" spans="1:8" x14ac:dyDescent="0.25">
      <c r="A123" s="7"/>
      <c r="B123" s="6"/>
      <c r="C123" s="6"/>
    </row>
    <row r="124" spans="1:8" x14ac:dyDescent="0.25">
      <c r="A124" s="7" t="s">
        <v>281</v>
      </c>
      <c r="B124" s="8"/>
      <c r="C124" s="8"/>
    </row>
    <row r="125" spans="1:8" x14ac:dyDescent="0.25">
      <c r="A125" s="7" t="s">
        <v>282</v>
      </c>
      <c r="B125" s="6">
        <v>563.44000000000005</v>
      </c>
      <c r="C125" s="6">
        <v>3000</v>
      </c>
    </row>
    <row r="126" spans="1:8" x14ac:dyDescent="0.25">
      <c r="A126" s="7" t="s">
        <v>409</v>
      </c>
      <c r="B126" s="6"/>
      <c r="C126" s="6"/>
    </row>
    <row r="127" spans="1:8" x14ac:dyDescent="0.25">
      <c r="A127" s="7"/>
      <c r="B127" s="6"/>
      <c r="C127" s="6"/>
    </row>
    <row r="128" spans="1:8" x14ac:dyDescent="0.25">
      <c r="A128" s="7" t="s">
        <v>380</v>
      </c>
      <c r="B128" s="6">
        <v>830</v>
      </c>
      <c r="C128" s="6">
        <v>5000</v>
      </c>
    </row>
    <row r="129" spans="1:3" x14ac:dyDescent="0.25">
      <c r="A129" s="7" t="s">
        <v>397</v>
      </c>
      <c r="B129" s="9">
        <f>SUM(B125:B128)</f>
        <v>1393.44</v>
      </c>
      <c r="C129" s="9">
        <f>((C124)+(C125))+(C128)</f>
        <v>8000</v>
      </c>
    </row>
    <row r="130" spans="1:3" x14ac:dyDescent="0.25">
      <c r="A130" s="7"/>
      <c r="B130" s="6"/>
      <c r="C130" s="6"/>
    </row>
    <row r="131" spans="1:3" x14ac:dyDescent="0.25">
      <c r="A131" s="7" t="s">
        <v>365</v>
      </c>
      <c r="B131" s="8"/>
      <c r="C131" s="8"/>
    </row>
    <row r="132" spans="1:3" x14ac:dyDescent="0.25">
      <c r="A132" s="7" t="s">
        <v>382</v>
      </c>
      <c r="B132" s="6"/>
      <c r="C132" s="6">
        <v>7500</v>
      </c>
    </row>
    <row r="133" spans="1:3" x14ac:dyDescent="0.25">
      <c r="A133" s="7" t="s">
        <v>398</v>
      </c>
      <c r="B133" s="9">
        <f>(B131)+(B132)</f>
        <v>0</v>
      </c>
      <c r="C133" s="9">
        <f>(C131)+(C132)</f>
        <v>7500</v>
      </c>
    </row>
    <row r="134" spans="1:3" x14ac:dyDescent="0.25">
      <c r="A134" s="7" t="s">
        <v>267</v>
      </c>
      <c r="B134" s="73">
        <f>B115+B116+B117+B118+B119+B120+B122+B129+B132</f>
        <v>26521.64</v>
      </c>
      <c r="C134" s="73">
        <f>C115+C116+C117+C118+C119+C120+C121+C123+C129+C132</f>
        <v>82252.08</v>
      </c>
    </row>
    <row r="135" spans="1:3" x14ac:dyDescent="0.25">
      <c r="A135" s="7" t="s">
        <v>268</v>
      </c>
      <c r="B135" s="9">
        <f>((B94)+(B113))+(B134)</f>
        <v>28678.71</v>
      </c>
      <c r="C135" s="9">
        <f>((C94)+(C113))+(C134)</f>
        <v>103871.08</v>
      </c>
    </row>
    <row r="136" spans="1:3" x14ac:dyDescent="0.25">
      <c r="A136" s="7" t="s">
        <v>269</v>
      </c>
      <c r="B136" s="9">
        <f>(((B35)+(B78))+(B93))+(B135)</f>
        <v>60191.850000000006</v>
      </c>
      <c r="C136" s="9">
        <f>(((C35)+(C78))+(C93))+(C135)</f>
        <v>351430.72000000003</v>
      </c>
    </row>
    <row r="137" spans="1:3" x14ac:dyDescent="0.25">
      <c r="A137" s="7" t="s">
        <v>270</v>
      </c>
      <c r="B137" s="73">
        <f>B136</f>
        <v>60191.850000000006</v>
      </c>
      <c r="C137" s="9">
        <f>C136</f>
        <v>351430.72000000003</v>
      </c>
    </row>
    <row r="138" spans="1:3" x14ac:dyDescent="0.25">
      <c r="A138" s="7" t="s">
        <v>271</v>
      </c>
      <c r="B138" s="9">
        <f>B33-B137</f>
        <v>-29912.260000000017</v>
      </c>
      <c r="C138" s="9">
        <f>(C33)-(C137)</f>
        <v>-12530.72000000003</v>
      </c>
    </row>
    <row r="139" spans="1:3" x14ac:dyDescent="0.25">
      <c r="A139" s="7" t="s">
        <v>3</v>
      </c>
      <c r="B139" s="87">
        <f>(B138)+(0)</f>
        <v>-29912.260000000017</v>
      </c>
      <c r="C139" s="9">
        <f>(C138)+(0)</f>
        <v>-12530.72000000003</v>
      </c>
    </row>
    <row r="140" spans="1:3" x14ac:dyDescent="0.25">
      <c r="A140" s="7"/>
      <c r="B140" s="7"/>
      <c r="C140" s="8"/>
    </row>
    <row r="143" spans="1:3" x14ac:dyDescent="0.25">
      <c r="A143" t="s">
        <v>474</v>
      </c>
      <c r="B143" s="1">
        <f>'Camp YTD Budget  4'!B205</f>
        <v>-527.61999999999898</v>
      </c>
    </row>
    <row r="144" spans="1:3" x14ac:dyDescent="0.25">
      <c r="B144" s="1"/>
    </row>
    <row r="145" spans="1:11" x14ac:dyDescent="0.25">
      <c r="A145" t="s">
        <v>475</v>
      </c>
      <c r="B145" s="1"/>
    </row>
    <row r="146" spans="1:11" x14ac:dyDescent="0.25">
      <c r="A146" t="s">
        <v>666</v>
      </c>
      <c r="B146" s="1"/>
    </row>
    <row r="147" spans="1:11" x14ac:dyDescent="0.25">
      <c r="A147" t="s">
        <v>667</v>
      </c>
      <c r="B147" s="1"/>
    </row>
    <row r="148" spans="1:11" x14ac:dyDescent="0.25">
      <c r="B148" s="1"/>
    </row>
    <row r="149" spans="1:11" x14ac:dyDescent="0.25">
      <c r="A149" t="s">
        <v>696</v>
      </c>
      <c r="B149" s="1">
        <v>24646.77</v>
      </c>
    </row>
    <row r="150" spans="1:11" x14ac:dyDescent="0.25">
      <c r="A150" t="s">
        <v>472</v>
      </c>
      <c r="B150" s="1"/>
    </row>
    <row r="151" spans="1:11" x14ac:dyDescent="0.25">
      <c r="A151" t="s">
        <v>473</v>
      </c>
      <c r="B151" s="1">
        <v>2193.0700000000002</v>
      </c>
    </row>
    <row r="152" spans="1:11" x14ac:dyDescent="0.25">
      <c r="B152" s="1"/>
    </row>
    <row r="153" spans="1:11" ht="15.75" thickBot="1" x14ac:dyDescent="0.3">
      <c r="A153" s="12" t="s">
        <v>405</v>
      </c>
      <c r="B153" s="86">
        <f>SUM(B139:B152)</f>
        <v>-3600.040000000015</v>
      </c>
    </row>
    <row r="154" spans="1:11" ht="15.75" thickTop="1" x14ac:dyDescent="0.25">
      <c r="B154" s="1"/>
    </row>
    <row r="155" spans="1:11" x14ac:dyDescent="0.25">
      <c r="B155" s="1"/>
      <c r="K155" t="s">
        <v>652</v>
      </c>
    </row>
    <row r="156" spans="1:11" x14ac:dyDescent="0.25">
      <c r="B156" s="1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2"/>
  <sheetViews>
    <sheetView zoomScaleNormal="100" workbookViewId="0">
      <pane ySplit="5" topLeftCell="A6" activePane="bottomLeft" state="frozen"/>
      <selection pane="bottomLeft" sqref="A1:C1"/>
    </sheetView>
  </sheetViews>
  <sheetFormatPr defaultColWidth="8.85546875" defaultRowHeight="15" x14ac:dyDescent="0.25"/>
  <cols>
    <col min="1" max="1" width="52.28515625" customWidth="1"/>
    <col min="2" max="2" width="13.7109375" customWidth="1"/>
    <col min="3" max="3" width="18.7109375" customWidth="1"/>
    <col min="4" max="4" width="9.7109375" bestFit="1" customWidth="1"/>
    <col min="5" max="5" width="19" customWidth="1"/>
    <col min="6" max="6" width="16.42578125" style="84" customWidth="1"/>
    <col min="7" max="7" width="28" customWidth="1"/>
    <col min="10" max="10" width="5" customWidth="1"/>
    <col min="11" max="11" width="13.42578125" customWidth="1"/>
  </cols>
  <sheetData>
    <row r="1" spans="1:3" ht="18" x14ac:dyDescent="0.25">
      <c r="A1" s="274" t="s">
        <v>63</v>
      </c>
      <c r="B1" s="274"/>
      <c r="C1" s="269"/>
    </row>
    <row r="2" spans="1:3" ht="18" x14ac:dyDescent="0.25">
      <c r="A2" s="274" t="s">
        <v>682</v>
      </c>
      <c r="B2" s="274"/>
      <c r="C2" s="269"/>
    </row>
    <row r="3" spans="1:3" x14ac:dyDescent="0.25">
      <c r="A3" s="275" t="s">
        <v>693</v>
      </c>
      <c r="B3" s="275"/>
      <c r="C3" s="275"/>
    </row>
    <row r="4" spans="1:3" ht="3.6" customHeight="1" x14ac:dyDescent="0.25"/>
    <row r="5" spans="1:3" x14ac:dyDescent="0.25">
      <c r="A5" s="11"/>
      <c r="B5" s="10" t="s">
        <v>386</v>
      </c>
      <c r="C5" s="10" t="s">
        <v>386</v>
      </c>
    </row>
    <row r="6" spans="1:3" x14ac:dyDescent="0.25">
      <c r="A6" s="11"/>
      <c r="B6" s="75"/>
      <c r="C6" s="75"/>
    </row>
    <row r="7" spans="1:3" x14ac:dyDescent="0.25">
      <c r="A7" s="7" t="s">
        <v>0</v>
      </c>
      <c r="B7" s="8"/>
      <c r="C7" s="8"/>
    </row>
    <row r="8" spans="1:3" x14ac:dyDescent="0.25">
      <c r="A8" s="7" t="s">
        <v>195</v>
      </c>
      <c r="B8" s="8"/>
      <c r="C8" s="8"/>
    </row>
    <row r="9" spans="1:3" x14ac:dyDescent="0.25">
      <c r="A9" s="7" t="s">
        <v>196</v>
      </c>
      <c r="B9" s="8"/>
      <c r="C9" s="8"/>
    </row>
    <row r="10" spans="1:3" x14ac:dyDescent="0.25">
      <c r="A10" s="7" t="s">
        <v>197</v>
      </c>
      <c r="B10" s="6">
        <v>6525</v>
      </c>
      <c r="C10" s="6">
        <v>122000</v>
      </c>
    </row>
    <row r="11" spans="1:3" x14ac:dyDescent="0.25">
      <c r="A11" s="7" t="s">
        <v>198</v>
      </c>
      <c r="B11" s="6">
        <v>350</v>
      </c>
      <c r="C11" s="6">
        <v>45000</v>
      </c>
    </row>
    <row r="12" spans="1:3" x14ac:dyDescent="0.25">
      <c r="A12" s="7" t="s">
        <v>436</v>
      </c>
      <c r="B12" s="6"/>
      <c r="C12" s="6">
        <v>5000</v>
      </c>
    </row>
    <row r="13" spans="1:3" x14ac:dyDescent="0.25">
      <c r="A13" s="7" t="s">
        <v>437</v>
      </c>
      <c r="B13" s="6"/>
      <c r="C13" s="6">
        <v>4500</v>
      </c>
    </row>
    <row r="14" spans="1:3" x14ac:dyDescent="0.25">
      <c r="B14" s="6"/>
      <c r="C14" s="6"/>
    </row>
    <row r="15" spans="1:3" x14ac:dyDescent="0.25">
      <c r="A15" s="7" t="s">
        <v>199</v>
      </c>
      <c r="B15" s="9">
        <f>SUM(B10:B14)</f>
        <v>6875</v>
      </c>
      <c r="C15" s="9">
        <f>SUM(C10:C14)</f>
        <v>176500</v>
      </c>
    </row>
    <row r="16" spans="1:3" x14ac:dyDescent="0.25">
      <c r="A16" s="7" t="s">
        <v>200</v>
      </c>
      <c r="B16" s="8"/>
      <c r="C16" s="8"/>
    </row>
    <row r="17" spans="1:3" x14ac:dyDescent="0.25">
      <c r="A17" s="7" t="s">
        <v>201</v>
      </c>
      <c r="B17" s="8"/>
      <c r="C17" s="8"/>
    </row>
    <row r="18" spans="1:3" x14ac:dyDescent="0.25">
      <c r="A18" s="7" t="s">
        <v>363</v>
      </c>
      <c r="B18" s="83">
        <v>1133.29</v>
      </c>
      <c r="C18" s="6">
        <v>25000</v>
      </c>
    </row>
    <row r="19" spans="1:3" x14ac:dyDescent="0.25">
      <c r="A19" s="7" t="s">
        <v>202</v>
      </c>
      <c r="B19" s="83"/>
      <c r="C19" s="6">
        <v>5500</v>
      </c>
    </row>
    <row r="20" spans="1:3" x14ac:dyDescent="0.25">
      <c r="A20" s="7" t="s">
        <v>203</v>
      </c>
      <c r="B20" s="83">
        <v>2500</v>
      </c>
      <c r="C20" s="6">
        <v>25000</v>
      </c>
    </row>
    <row r="21" spans="1:3" x14ac:dyDescent="0.25">
      <c r="A21" s="7" t="s">
        <v>378</v>
      </c>
      <c r="B21" s="83"/>
      <c r="C21" s="6">
        <v>5500</v>
      </c>
    </row>
    <row r="22" spans="1:3" x14ac:dyDescent="0.25">
      <c r="A22" s="7" t="s">
        <v>283</v>
      </c>
      <c r="B22" s="6"/>
      <c r="C22" s="6">
        <v>3000</v>
      </c>
    </row>
    <row r="23" spans="1:3" x14ac:dyDescent="0.25">
      <c r="A23" s="7" t="s">
        <v>284</v>
      </c>
      <c r="B23" s="6">
        <v>15000</v>
      </c>
      <c r="C23" s="6">
        <v>90000</v>
      </c>
    </row>
    <row r="24" spans="1:3" x14ac:dyDescent="0.25">
      <c r="A24" s="7" t="s">
        <v>438</v>
      </c>
      <c r="B24" s="6" t="s">
        <v>600</v>
      </c>
      <c r="C24" s="6">
        <v>1000</v>
      </c>
    </row>
    <row r="25" spans="1:3" x14ac:dyDescent="0.25">
      <c r="A25" s="7" t="s">
        <v>204</v>
      </c>
      <c r="B25" s="9">
        <f>SUM(B18:B24)</f>
        <v>18633.29</v>
      </c>
      <c r="C25" s="9">
        <f>SUM(C18:C24)</f>
        <v>155000</v>
      </c>
    </row>
    <row r="26" spans="1:3" x14ac:dyDescent="0.25">
      <c r="A26" s="7" t="s">
        <v>205</v>
      </c>
      <c r="B26" s="6">
        <v>500</v>
      </c>
      <c r="C26" s="6">
        <v>1000</v>
      </c>
    </row>
    <row r="27" spans="1:3" ht="16.350000000000001" hidden="1" customHeight="1" x14ac:dyDescent="0.25">
      <c r="A27" s="7" t="s">
        <v>467</v>
      </c>
      <c r="B27" s="6"/>
      <c r="C27" s="6"/>
    </row>
    <row r="28" spans="1:3" hidden="1" x14ac:dyDescent="0.25">
      <c r="A28" s="7"/>
      <c r="B28" s="124"/>
      <c r="C28" s="6"/>
    </row>
    <row r="29" spans="1:3" x14ac:dyDescent="0.25">
      <c r="A29" s="7" t="s">
        <v>285</v>
      </c>
      <c r="B29" s="6"/>
      <c r="C29" s="6">
        <v>17500</v>
      </c>
    </row>
    <row r="30" spans="1:3" x14ac:dyDescent="0.25">
      <c r="A30" s="7" t="s">
        <v>552</v>
      </c>
      <c r="B30" s="6"/>
      <c r="C30" s="6"/>
    </row>
    <row r="31" spans="1:3" ht="18.75" hidden="1" customHeight="1" x14ac:dyDescent="0.25">
      <c r="A31" s="7" t="s">
        <v>502</v>
      </c>
      <c r="B31" s="6">
        <v>0</v>
      </c>
      <c r="C31" s="6"/>
    </row>
    <row r="32" spans="1:3" x14ac:dyDescent="0.25">
      <c r="A32" s="7" t="s">
        <v>574</v>
      </c>
      <c r="B32" s="6"/>
      <c r="C32" s="6">
        <v>700</v>
      </c>
    </row>
    <row r="33" spans="1:3" x14ac:dyDescent="0.25">
      <c r="A33" s="7" t="s">
        <v>286</v>
      </c>
      <c r="B33" s="6"/>
      <c r="C33" s="6">
        <v>2500</v>
      </c>
    </row>
    <row r="34" spans="1:3" x14ac:dyDescent="0.25">
      <c r="A34" s="7" t="s">
        <v>645</v>
      </c>
      <c r="B34" s="6">
        <v>1936.05</v>
      </c>
      <c r="C34" s="6"/>
    </row>
    <row r="35" spans="1:3" x14ac:dyDescent="0.25">
      <c r="A35" s="7" t="s">
        <v>656</v>
      </c>
      <c r="B35" s="6"/>
      <c r="C35" s="6"/>
    </row>
    <row r="36" spans="1:3" ht="18.75" customHeight="1" x14ac:dyDescent="0.25">
      <c r="A36" s="7" t="s">
        <v>593</v>
      </c>
      <c r="B36" s="6"/>
      <c r="C36" s="6"/>
    </row>
    <row r="37" spans="1:3" x14ac:dyDescent="0.25">
      <c r="A37" s="7" t="s">
        <v>206</v>
      </c>
      <c r="B37" s="9">
        <f>B25+B26+B28+B29+B30+B31+B33+B34+B35</f>
        <v>21069.34</v>
      </c>
      <c r="C37" s="9">
        <f>C25+C26+C28+C29+C32+C33</f>
        <v>176700</v>
      </c>
    </row>
    <row r="38" spans="1:3" x14ac:dyDescent="0.25">
      <c r="A38" s="7" t="s">
        <v>207</v>
      </c>
      <c r="B38" s="9">
        <f>((B8)+(B15))+B32+(B37)</f>
        <v>27944.34</v>
      </c>
      <c r="C38" s="9">
        <f>((C8)+(C15))+(C37)</f>
        <v>353200</v>
      </c>
    </row>
    <row r="39" spans="1:3" x14ac:dyDescent="0.25">
      <c r="A39" s="7"/>
      <c r="B39" s="9"/>
      <c r="C39" s="9"/>
    </row>
    <row r="40" spans="1:3" x14ac:dyDescent="0.25">
      <c r="A40" s="7" t="s">
        <v>1</v>
      </c>
      <c r="B40" s="9">
        <f>SUM(B38:B39)</f>
        <v>27944.34</v>
      </c>
      <c r="C40" s="9">
        <f>C38</f>
        <v>353200</v>
      </c>
    </row>
    <row r="41" spans="1:3" x14ac:dyDescent="0.25">
      <c r="A41" s="7" t="s">
        <v>2</v>
      </c>
      <c r="B41" s="9">
        <f>(B40)-(0)</f>
        <v>27944.34</v>
      </c>
      <c r="C41" s="9">
        <f>(C40)-(0)</f>
        <v>353200</v>
      </c>
    </row>
    <row r="42" spans="1:3" x14ac:dyDescent="0.25">
      <c r="A42" s="7" t="s">
        <v>208</v>
      </c>
      <c r="B42" s="8"/>
      <c r="C42" s="8"/>
    </row>
    <row r="43" spans="1:3" x14ac:dyDescent="0.25">
      <c r="A43" s="7" t="s">
        <v>209</v>
      </c>
      <c r="B43" s="8"/>
      <c r="C43" s="8"/>
    </row>
    <row r="44" spans="1:3" x14ac:dyDescent="0.25">
      <c r="A44" s="7" t="s">
        <v>287</v>
      </c>
      <c r="B44" s="83"/>
      <c r="C44" s="8"/>
    </row>
    <row r="45" spans="1:3" x14ac:dyDescent="0.25">
      <c r="A45" s="7" t="s">
        <v>288</v>
      </c>
      <c r="B45" s="83"/>
      <c r="C45" s="1">
        <v>3900</v>
      </c>
    </row>
    <row r="46" spans="1:3" x14ac:dyDescent="0.25">
      <c r="A46" s="7" t="s">
        <v>477</v>
      </c>
      <c r="B46" s="83"/>
      <c r="C46" s="6"/>
    </row>
    <row r="47" spans="1:3" x14ac:dyDescent="0.25">
      <c r="A47" s="7" t="s">
        <v>439</v>
      </c>
      <c r="B47" s="6"/>
      <c r="C47" s="6">
        <v>1700</v>
      </c>
    </row>
    <row r="48" spans="1:3" x14ac:dyDescent="0.25">
      <c r="A48" s="7" t="s">
        <v>289</v>
      </c>
      <c r="B48" s="119"/>
      <c r="C48" s="6">
        <v>9000</v>
      </c>
    </row>
    <row r="49" spans="1:3" x14ac:dyDescent="0.25">
      <c r="A49" s="7" t="s">
        <v>643</v>
      </c>
      <c r="B49" s="119"/>
      <c r="C49" s="6"/>
    </row>
    <row r="50" spans="1:3" x14ac:dyDescent="0.25">
      <c r="A50" s="7" t="s">
        <v>614</v>
      </c>
      <c r="B50" s="6"/>
      <c r="C50" s="6"/>
    </row>
    <row r="51" spans="1:3" x14ac:dyDescent="0.25">
      <c r="A51" s="7" t="s">
        <v>290</v>
      </c>
      <c r="B51" s="6"/>
      <c r="C51" s="6">
        <v>4000</v>
      </c>
    </row>
    <row r="52" spans="1:3" x14ac:dyDescent="0.25">
      <c r="A52" s="70" t="s">
        <v>515</v>
      </c>
      <c r="B52" s="6"/>
      <c r="C52" s="6"/>
    </row>
    <row r="53" spans="1:3" x14ac:dyDescent="0.25">
      <c r="A53" s="7" t="s">
        <v>562</v>
      </c>
      <c r="B53" s="119"/>
      <c r="C53" s="6">
        <v>7740</v>
      </c>
    </row>
    <row r="54" spans="1:3" x14ac:dyDescent="0.25">
      <c r="A54" s="7" t="s">
        <v>615</v>
      </c>
      <c r="B54" s="6"/>
      <c r="C54" s="6"/>
    </row>
    <row r="55" spans="1:3" x14ac:dyDescent="0.25">
      <c r="A55" s="7" t="s">
        <v>602</v>
      </c>
      <c r="B55" s="6"/>
      <c r="C55" s="6"/>
    </row>
    <row r="56" spans="1:3" x14ac:dyDescent="0.25">
      <c r="A56" s="7" t="s">
        <v>601</v>
      </c>
      <c r="B56" s="6"/>
      <c r="C56" s="6"/>
    </row>
    <row r="57" spans="1:3" x14ac:dyDescent="0.25">
      <c r="A57" s="7" t="s">
        <v>476</v>
      </c>
      <c r="B57" s="6"/>
      <c r="C57" s="6"/>
    </row>
    <row r="58" spans="1:3" x14ac:dyDescent="0.25">
      <c r="A58" s="57" t="s">
        <v>486</v>
      </c>
      <c r="B58" s="6"/>
      <c r="C58" s="6"/>
    </row>
    <row r="59" spans="1:3" x14ac:dyDescent="0.25">
      <c r="A59" s="7" t="s">
        <v>374</v>
      </c>
      <c r="B59" s="71"/>
      <c r="C59" s="6"/>
    </row>
    <row r="60" spans="1:3" x14ac:dyDescent="0.25">
      <c r="A60" s="7" t="s">
        <v>487</v>
      </c>
      <c r="B60" s="6"/>
      <c r="C60" s="6"/>
    </row>
    <row r="61" spans="1:3" x14ac:dyDescent="0.25">
      <c r="A61" s="7" t="s">
        <v>488</v>
      </c>
      <c r="B61" s="6"/>
      <c r="C61" s="6"/>
    </row>
    <row r="62" spans="1:3" x14ac:dyDescent="0.25">
      <c r="A62" s="7" t="s">
        <v>564</v>
      </c>
      <c r="B62" s="6">
        <v>180</v>
      </c>
      <c r="C62" s="6">
        <v>4000</v>
      </c>
    </row>
    <row r="63" spans="1:3" x14ac:dyDescent="0.25">
      <c r="A63" s="70" t="s">
        <v>516</v>
      </c>
      <c r="B63" s="6"/>
      <c r="C63" s="6">
        <v>0</v>
      </c>
    </row>
    <row r="64" spans="1:3" x14ac:dyDescent="0.25">
      <c r="A64" s="70" t="s">
        <v>517</v>
      </c>
      <c r="B64" s="6"/>
      <c r="C64" s="6"/>
    </row>
    <row r="65" spans="1:3" x14ac:dyDescent="0.25">
      <c r="A65" s="7" t="s">
        <v>563</v>
      </c>
      <c r="B65" s="6"/>
      <c r="C65" s="6"/>
    </row>
    <row r="66" spans="1:3" x14ac:dyDescent="0.25">
      <c r="A66" s="7" t="s">
        <v>553</v>
      </c>
      <c r="B66" s="6"/>
      <c r="C66" s="6"/>
    </row>
    <row r="67" spans="1:3" x14ac:dyDescent="0.25">
      <c r="A67" s="7" t="s">
        <v>603</v>
      </c>
      <c r="B67" s="6"/>
      <c r="C67" s="6"/>
    </row>
    <row r="68" spans="1:3" x14ac:dyDescent="0.25">
      <c r="A68" s="7" t="s">
        <v>523</v>
      </c>
      <c r="B68" s="135"/>
      <c r="C68" s="6"/>
    </row>
    <row r="69" spans="1:3" x14ac:dyDescent="0.25">
      <c r="A69" s="7" t="s">
        <v>291</v>
      </c>
      <c r="B69" s="83"/>
      <c r="C69" s="6">
        <v>32460</v>
      </c>
    </row>
    <row r="70" spans="1:3" x14ac:dyDescent="0.25">
      <c r="A70" s="7" t="s">
        <v>292</v>
      </c>
      <c r="B70" s="9">
        <f>SUM(B43:B69)</f>
        <v>180</v>
      </c>
      <c r="C70" s="9">
        <f>SUM(C44:C69)</f>
        <v>62800</v>
      </c>
    </row>
    <row r="71" spans="1:3" x14ac:dyDescent="0.25">
      <c r="A71" s="7" t="s">
        <v>210</v>
      </c>
      <c r="B71" s="8"/>
      <c r="C71" s="8"/>
    </row>
    <row r="72" spans="1:3" ht="3.75" customHeight="1" x14ac:dyDescent="0.25">
      <c r="A72" s="7"/>
      <c r="B72" s="6"/>
      <c r="C72" s="6"/>
    </row>
    <row r="73" spans="1:3" x14ac:dyDescent="0.25">
      <c r="A73" s="7" t="s">
        <v>211</v>
      </c>
      <c r="B73" s="8"/>
      <c r="C73" s="8"/>
    </row>
    <row r="74" spans="1:3" x14ac:dyDescent="0.25">
      <c r="A74" s="7" t="s">
        <v>212</v>
      </c>
      <c r="B74" s="74">
        <v>8817.32</v>
      </c>
      <c r="C74" s="6">
        <v>70000</v>
      </c>
    </row>
    <row r="75" spans="1:3" x14ac:dyDescent="0.25">
      <c r="A75" s="7" t="s">
        <v>578</v>
      </c>
      <c r="B75" s="74">
        <v>904.78</v>
      </c>
      <c r="C75" s="6"/>
    </row>
    <row r="76" spans="1:3" x14ac:dyDescent="0.25">
      <c r="A76" s="7" t="s">
        <v>604</v>
      </c>
      <c r="B76" s="74">
        <v>75.97</v>
      </c>
      <c r="C76" s="6"/>
    </row>
    <row r="77" spans="1:3" x14ac:dyDescent="0.25">
      <c r="A77" s="7" t="s">
        <v>213</v>
      </c>
      <c r="B77" s="74"/>
      <c r="C77" s="6">
        <v>13500</v>
      </c>
    </row>
    <row r="78" spans="1:3" x14ac:dyDescent="0.25">
      <c r="A78" s="7" t="s">
        <v>214</v>
      </c>
      <c r="B78" s="9">
        <f>SUM(B74:B77)</f>
        <v>9798.07</v>
      </c>
      <c r="C78" s="9">
        <f>((C73)+(C74))+(C77)</f>
        <v>83500</v>
      </c>
    </row>
    <row r="79" spans="1:3" x14ac:dyDescent="0.25">
      <c r="A79" s="7" t="s">
        <v>293</v>
      </c>
      <c r="B79" s="8"/>
      <c r="C79" s="8"/>
    </row>
    <row r="80" spans="1:3" x14ac:dyDescent="0.25">
      <c r="A80" s="7" t="s">
        <v>294</v>
      </c>
      <c r="B80" s="74"/>
      <c r="C80" s="6">
        <v>39600</v>
      </c>
    </row>
    <row r="81" spans="1:11" x14ac:dyDescent="0.25">
      <c r="A81" s="7" t="s">
        <v>295</v>
      </c>
      <c r="B81" s="9">
        <f>(B79)+(B80)</f>
        <v>0</v>
      </c>
      <c r="C81" s="9">
        <f>(C79)+(C80)</f>
        <v>39600</v>
      </c>
    </row>
    <row r="82" spans="1:11" x14ac:dyDescent="0.25">
      <c r="A82" s="7" t="s">
        <v>296</v>
      </c>
      <c r="B82" s="8"/>
      <c r="C82" s="8"/>
    </row>
    <row r="83" spans="1:11" x14ac:dyDescent="0.25">
      <c r="A83" s="7" t="s">
        <v>297</v>
      </c>
      <c r="B83" s="6"/>
      <c r="C83" s="6">
        <v>6400</v>
      </c>
    </row>
    <row r="84" spans="1:11" x14ac:dyDescent="0.25">
      <c r="A84" s="7" t="s">
        <v>524</v>
      </c>
      <c r="B84" s="8"/>
      <c r="C84" s="8"/>
    </row>
    <row r="85" spans="1:11" x14ac:dyDescent="0.25">
      <c r="A85" s="7" t="s">
        <v>440</v>
      </c>
      <c r="B85" s="6">
        <v>1230.45</v>
      </c>
      <c r="C85" s="6">
        <v>10400</v>
      </c>
    </row>
    <row r="86" spans="1:11" x14ac:dyDescent="0.25">
      <c r="A86" s="115" t="s">
        <v>647</v>
      </c>
      <c r="B86" s="117"/>
      <c r="C86" s="116"/>
      <c r="D86" s="116"/>
      <c r="E86" s="116"/>
      <c r="F86" s="116"/>
      <c r="G86" s="117">
        <f t="shared" ref="G86:G89" si="0">((((B86)+(C86))+(D86))+(E86))+(F86)</f>
        <v>0</v>
      </c>
    </row>
    <row r="87" spans="1:11" x14ac:dyDescent="0.25">
      <c r="A87" s="115" t="s">
        <v>662</v>
      </c>
      <c r="B87" s="117"/>
      <c r="C87" s="116"/>
      <c r="D87" s="116"/>
      <c r="E87" s="116"/>
      <c r="F87" s="116"/>
      <c r="G87" s="117"/>
    </row>
    <row r="88" spans="1:11" x14ac:dyDescent="0.25">
      <c r="A88" s="115" t="s">
        <v>663</v>
      </c>
      <c r="B88" s="117"/>
      <c r="C88" s="116"/>
      <c r="D88" s="116"/>
      <c r="E88" s="116"/>
      <c r="F88" s="116"/>
      <c r="G88" s="117">
        <f t="shared" si="0"/>
        <v>0</v>
      </c>
      <c r="K88" s="120"/>
    </row>
    <row r="89" spans="1:11" x14ac:dyDescent="0.25">
      <c r="A89" s="115" t="s">
        <v>649</v>
      </c>
      <c r="B89" s="118">
        <f>SUM(B85:B88)</f>
        <v>1230.45</v>
      </c>
      <c r="C89" s="118">
        <f>(C86)+(C88)</f>
        <v>0</v>
      </c>
      <c r="D89" s="118">
        <f>(D86)+(D88)</f>
        <v>0</v>
      </c>
      <c r="E89" s="118">
        <f>(E86)+(E88)</f>
        <v>0</v>
      </c>
      <c r="F89" s="118">
        <f>(F86)+(F88)</f>
        <v>0</v>
      </c>
      <c r="G89" s="118">
        <f t="shared" si="0"/>
        <v>1230.45</v>
      </c>
    </row>
    <row r="90" spans="1:11" ht="10.5" customHeight="1" x14ac:dyDescent="0.25">
      <c r="A90" s="7"/>
      <c r="B90" s="6"/>
      <c r="C90" s="6"/>
    </row>
    <row r="91" spans="1:11" ht="12" customHeight="1" x14ac:dyDescent="0.25">
      <c r="A91" s="7"/>
      <c r="B91" s="9"/>
      <c r="C91" s="9"/>
    </row>
    <row r="92" spans="1:11" x14ac:dyDescent="0.25">
      <c r="A92" s="7" t="s">
        <v>215</v>
      </c>
      <c r="B92" s="9">
        <f>B78+B81+B83+B89</f>
        <v>11028.52</v>
      </c>
      <c r="C92" s="78">
        <f>C78+C81+C83+C84+C85</f>
        <v>139900</v>
      </c>
    </row>
    <row r="93" spans="1:11" x14ac:dyDescent="0.25">
      <c r="A93" s="7" t="s">
        <v>216</v>
      </c>
      <c r="B93" s="8"/>
      <c r="C93" s="8"/>
    </row>
    <row r="94" spans="1:11" x14ac:dyDescent="0.25">
      <c r="A94" s="7" t="s">
        <v>298</v>
      </c>
      <c r="B94" s="83">
        <v>1853.25</v>
      </c>
      <c r="C94" s="6">
        <v>4700</v>
      </c>
    </row>
    <row r="95" spans="1:11" x14ac:dyDescent="0.25">
      <c r="A95" s="7" t="s">
        <v>217</v>
      </c>
      <c r="B95" s="83">
        <v>1022.15</v>
      </c>
      <c r="C95" s="6">
        <v>15136</v>
      </c>
    </row>
    <row r="96" spans="1:11" x14ac:dyDescent="0.25">
      <c r="A96" s="7" t="s">
        <v>218</v>
      </c>
      <c r="B96" s="6"/>
      <c r="C96" s="6">
        <v>3500</v>
      </c>
    </row>
    <row r="97" spans="1:5" x14ac:dyDescent="0.25">
      <c r="A97" s="7" t="s">
        <v>577</v>
      </c>
      <c r="B97" s="6">
        <v>-63.97</v>
      </c>
      <c r="C97" s="6"/>
    </row>
    <row r="98" spans="1:5" x14ac:dyDescent="0.25">
      <c r="A98" s="7" t="s">
        <v>520</v>
      </c>
      <c r="B98" s="6"/>
      <c r="C98" s="6">
        <v>0</v>
      </c>
    </row>
    <row r="99" spans="1:5" x14ac:dyDescent="0.25">
      <c r="A99" s="7" t="s">
        <v>525</v>
      </c>
      <c r="B99" s="83"/>
      <c r="C99" s="6">
        <v>2400</v>
      </c>
    </row>
    <row r="100" spans="1:5" x14ac:dyDescent="0.25">
      <c r="A100" s="7" t="s">
        <v>526</v>
      </c>
      <c r="B100" s="83"/>
      <c r="C100" s="6">
        <v>0</v>
      </c>
    </row>
    <row r="101" spans="1:5" x14ac:dyDescent="0.25">
      <c r="A101" s="7" t="s">
        <v>527</v>
      </c>
      <c r="B101" s="6"/>
      <c r="C101" s="6">
        <v>1280</v>
      </c>
    </row>
    <row r="102" spans="1:5" x14ac:dyDescent="0.25">
      <c r="A102" s="7" t="s">
        <v>528</v>
      </c>
      <c r="B102" s="6">
        <v>2686.58</v>
      </c>
      <c r="C102" s="6">
        <v>21300</v>
      </c>
    </row>
    <row r="103" spans="1:5" x14ac:dyDescent="0.25">
      <c r="A103" s="7" t="s">
        <v>529</v>
      </c>
      <c r="B103" s="6"/>
      <c r="C103" s="6"/>
    </row>
    <row r="104" spans="1:5" x14ac:dyDescent="0.25">
      <c r="A104" s="7" t="s">
        <v>540</v>
      </c>
      <c r="B104" s="125"/>
      <c r="C104" s="6">
        <v>0</v>
      </c>
    </row>
    <row r="105" spans="1:5" x14ac:dyDescent="0.25">
      <c r="A105" s="7" t="s">
        <v>368</v>
      </c>
      <c r="B105" s="6">
        <v>558.21</v>
      </c>
      <c r="C105" s="6">
        <v>2000</v>
      </c>
    </row>
    <row r="106" spans="1:5" ht="15.75" thickBot="1" x14ac:dyDescent="0.3">
      <c r="A106" s="7"/>
      <c r="B106" s="76"/>
      <c r="C106" s="76">
        <v>850</v>
      </c>
    </row>
    <row r="107" spans="1:5" x14ac:dyDescent="0.25">
      <c r="A107" s="7" t="s">
        <v>539</v>
      </c>
      <c r="B107" s="6">
        <f>SUM(B94:B105)</f>
        <v>6056.22</v>
      </c>
      <c r="C107" s="6">
        <f>SUM(C94:C106)</f>
        <v>51166</v>
      </c>
      <c r="E107" s="51"/>
    </row>
    <row r="108" spans="1:5" x14ac:dyDescent="0.25">
      <c r="A108" s="121" t="s">
        <v>646</v>
      </c>
      <c r="B108" s="6">
        <f>B70+B92+B107</f>
        <v>17264.740000000002</v>
      </c>
      <c r="C108" s="6"/>
      <c r="E108" s="51"/>
    </row>
    <row r="109" spans="1:5" x14ac:dyDescent="0.25">
      <c r="A109" s="7"/>
      <c r="B109" s="6"/>
      <c r="C109" s="6"/>
      <c r="E109" s="51"/>
    </row>
    <row r="110" spans="1:5" x14ac:dyDescent="0.25">
      <c r="A110" s="7" t="s">
        <v>219</v>
      </c>
      <c r="B110" s="8"/>
      <c r="C110" s="8"/>
    </row>
    <row r="111" spans="1:5" x14ac:dyDescent="0.25">
      <c r="A111" s="7" t="s">
        <v>220</v>
      </c>
      <c r="B111" s="6">
        <v>32.35</v>
      </c>
      <c r="C111" s="6">
        <v>1750</v>
      </c>
    </row>
    <row r="112" spans="1:5" x14ac:dyDescent="0.25">
      <c r="A112" s="7" t="s">
        <v>480</v>
      </c>
      <c r="B112" s="126">
        <v>1001.33</v>
      </c>
      <c r="C112" s="6"/>
    </row>
    <row r="113" spans="1:3" x14ac:dyDescent="0.25">
      <c r="A113" s="7" t="s">
        <v>221</v>
      </c>
      <c r="B113" s="107">
        <v>649.21</v>
      </c>
      <c r="C113" s="6">
        <v>4700</v>
      </c>
    </row>
    <row r="114" spans="1:3" x14ac:dyDescent="0.25">
      <c r="A114" s="7" t="s">
        <v>521</v>
      </c>
      <c r="B114" s="83"/>
      <c r="C114" s="6"/>
    </row>
    <row r="115" spans="1:3" x14ac:dyDescent="0.25">
      <c r="A115" s="7" t="s">
        <v>299</v>
      </c>
      <c r="B115" s="83"/>
      <c r="C115" s="6">
        <v>500</v>
      </c>
    </row>
    <row r="116" spans="1:3" x14ac:dyDescent="0.25">
      <c r="A116" s="7" t="s">
        <v>300</v>
      </c>
      <c r="B116" s="83">
        <v>134.19</v>
      </c>
      <c r="C116" s="6">
        <v>1500</v>
      </c>
    </row>
    <row r="117" spans="1:3" x14ac:dyDescent="0.25">
      <c r="A117" s="7" t="s">
        <v>401</v>
      </c>
      <c r="B117" s="8"/>
      <c r="C117" s="8"/>
    </row>
    <row r="118" spans="1:3" x14ac:dyDescent="0.25">
      <c r="A118" s="7" t="s">
        <v>280</v>
      </c>
      <c r="B118" s="83">
        <v>187.79</v>
      </c>
      <c r="C118" s="6">
        <v>1000</v>
      </c>
    </row>
    <row r="119" spans="1:3" x14ac:dyDescent="0.25">
      <c r="A119" s="7" t="s">
        <v>399</v>
      </c>
      <c r="B119" s="83"/>
      <c r="C119" s="6">
        <v>1500</v>
      </c>
    </row>
    <row r="120" spans="1:3" x14ac:dyDescent="0.25">
      <c r="A120" s="7" t="s">
        <v>571</v>
      </c>
      <c r="B120" s="83"/>
      <c r="C120" s="6"/>
    </row>
    <row r="121" spans="1:3" x14ac:dyDescent="0.25">
      <c r="A121" s="7" t="s">
        <v>441</v>
      </c>
      <c r="B121" s="83"/>
      <c r="C121" s="6">
        <v>1500</v>
      </c>
    </row>
    <row r="122" spans="1:3" x14ac:dyDescent="0.25">
      <c r="A122" s="7" t="s">
        <v>402</v>
      </c>
      <c r="B122" s="9">
        <f>SUM(B118:B121)</f>
        <v>187.79</v>
      </c>
      <c r="C122" s="9">
        <f>(((C117)+(C118))+(C119))+(C121)</f>
        <v>4000</v>
      </c>
    </row>
    <row r="123" spans="1:3" x14ac:dyDescent="0.25">
      <c r="A123" s="7" t="s">
        <v>275</v>
      </c>
      <c r="B123" s="6"/>
      <c r="C123" s="6">
        <v>50</v>
      </c>
    </row>
    <row r="124" spans="1:3" x14ac:dyDescent="0.25">
      <c r="A124" s="7" t="s">
        <v>222</v>
      </c>
      <c r="B124" s="8"/>
      <c r="C124" s="8"/>
    </row>
    <row r="125" spans="1:3" x14ac:dyDescent="0.25">
      <c r="A125" s="7" t="s">
        <v>301</v>
      </c>
      <c r="B125" s="83"/>
      <c r="C125" s="6">
        <v>500</v>
      </c>
    </row>
    <row r="126" spans="1:3" x14ac:dyDescent="0.25">
      <c r="A126" s="7" t="s">
        <v>223</v>
      </c>
      <c r="B126" s="83"/>
      <c r="C126" s="6">
        <v>400</v>
      </c>
    </row>
    <row r="127" spans="1:3" x14ac:dyDescent="0.25">
      <c r="A127" s="7" t="s">
        <v>224</v>
      </c>
      <c r="B127" s="9">
        <f>((B124)+(B125))+(B126)</f>
        <v>0</v>
      </c>
      <c r="C127" s="9">
        <f>((C124)+(C125))+(C126)</f>
        <v>900</v>
      </c>
    </row>
    <row r="128" spans="1:3" x14ac:dyDescent="0.25">
      <c r="A128" s="7" t="s">
        <v>225</v>
      </c>
      <c r="B128" s="83"/>
      <c r="C128" s="6">
        <v>1250</v>
      </c>
    </row>
    <row r="129" spans="1:5" x14ac:dyDescent="0.25">
      <c r="A129" s="7" t="s">
        <v>375</v>
      </c>
      <c r="B129" s="83">
        <v>145</v>
      </c>
      <c r="C129" s="6">
        <v>2000</v>
      </c>
    </row>
    <row r="130" spans="1:5" x14ac:dyDescent="0.25">
      <c r="A130" s="7" t="s">
        <v>302</v>
      </c>
      <c r="B130" s="83"/>
      <c r="C130" s="6">
        <v>1750</v>
      </c>
    </row>
    <row r="131" spans="1:5" x14ac:dyDescent="0.25">
      <c r="A131" s="7" t="s">
        <v>555</v>
      </c>
      <c r="B131" s="6"/>
      <c r="C131" s="6"/>
    </row>
    <row r="132" spans="1:5" x14ac:dyDescent="0.25">
      <c r="A132" s="7" t="s">
        <v>303</v>
      </c>
      <c r="B132" s="83"/>
      <c r="C132" s="6">
        <v>750</v>
      </c>
    </row>
    <row r="133" spans="1:5" x14ac:dyDescent="0.25">
      <c r="A133" s="7" t="s">
        <v>226</v>
      </c>
      <c r="B133" s="83"/>
      <c r="C133" s="6">
        <v>250</v>
      </c>
    </row>
    <row r="134" spans="1:5" x14ac:dyDescent="0.25">
      <c r="A134" s="7" t="s">
        <v>304</v>
      </c>
      <c r="B134" s="83"/>
      <c r="C134" s="6">
        <f>1000</f>
        <v>1000</v>
      </c>
      <c r="D134" s="51"/>
    </row>
    <row r="135" spans="1:5" x14ac:dyDescent="0.25">
      <c r="A135" s="7" t="s">
        <v>227</v>
      </c>
      <c r="B135" s="83"/>
      <c r="C135" s="6">
        <v>3000</v>
      </c>
    </row>
    <row r="136" spans="1:5" x14ac:dyDescent="0.25">
      <c r="A136" s="7"/>
      <c r="B136" s="6"/>
    </row>
    <row r="137" spans="1:5" x14ac:dyDescent="0.25">
      <c r="A137" s="7" t="s">
        <v>305</v>
      </c>
      <c r="B137" s="83"/>
      <c r="C137" s="6">
        <v>750</v>
      </c>
      <c r="E137" s="51"/>
    </row>
    <row r="138" spans="1:5" x14ac:dyDescent="0.25">
      <c r="A138" s="7" t="s">
        <v>306</v>
      </c>
      <c r="B138" s="8"/>
      <c r="C138" s="8"/>
    </row>
    <row r="139" spans="1:5" x14ac:dyDescent="0.25">
      <c r="A139" s="7" t="s">
        <v>307</v>
      </c>
      <c r="B139" s="83"/>
      <c r="C139" s="6">
        <v>3000</v>
      </c>
    </row>
    <row r="140" spans="1:5" x14ac:dyDescent="0.25">
      <c r="A140" s="7" t="s">
        <v>308</v>
      </c>
      <c r="B140" s="83"/>
      <c r="C140" s="6">
        <v>250</v>
      </c>
    </row>
    <row r="141" spans="1:5" x14ac:dyDescent="0.25">
      <c r="A141" s="7" t="s">
        <v>309</v>
      </c>
      <c r="B141" s="9">
        <f>((B138)+(B139))+(B140)</f>
        <v>0</v>
      </c>
      <c r="C141" s="9">
        <f>((C138)+(C139))+(C140)</f>
        <v>3250</v>
      </c>
    </row>
    <row r="142" spans="1:5" x14ac:dyDescent="0.25">
      <c r="A142" s="7" t="s">
        <v>310</v>
      </c>
      <c r="B142" s="8"/>
      <c r="C142" s="8"/>
    </row>
    <row r="143" spans="1:5" x14ac:dyDescent="0.25">
      <c r="A143" s="7" t="s">
        <v>311</v>
      </c>
      <c r="B143" s="6"/>
      <c r="C143" s="6">
        <v>500</v>
      </c>
    </row>
    <row r="144" spans="1:5" x14ac:dyDescent="0.25">
      <c r="A144" s="7" t="s">
        <v>312</v>
      </c>
      <c r="B144" s="6"/>
      <c r="C144" s="6">
        <v>0</v>
      </c>
    </row>
    <row r="145" spans="1:5" x14ac:dyDescent="0.25">
      <c r="A145" s="7" t="s">
        <v>313</v>
      </c>
      <c r="B145" s="9">
        <f>((B142)+(B143))+(B144)</f>
        <v>0</v>
      </c>
      <c r="C145" s="9">
        <f>((C142)+(C143))+(C144)</f>
        <v>500</v>
      </c>
    </row>
    <row r="146" spans="1:5" x14ac:dyDescent="0.25">
      <c r="A146" s="7" t="s">
        <v>314</v>
      </c>
      <c r="B146" s="8"/>
      <c r="C146" s="8"/>
    </row>
    <row r="147" spans="1:5" x14ac:dyDescent="0.25">
      <c r="A147" s="7" t="s">
        <v>315</v>
      </c>
      <c r="B147" s="6"/>
      <c r="C147" s="6">
        <v>750</v>
      </c>
    </row>
    <row r="148" spans="1:5" x14ac:dyDescent="0.25">
      <c r="A148" s="7" t="s">
        <v>316</v>
      </c>
      <c r="B148" s="9">
        <f>B147</f>
        <v>0</v>
      </c>
      <c r="C148" s="9">
        <f>(C146)+(C147)</f>
        <v>750</v>
      </c>
    </row>
    <row r="149" spans="1:5" x14ac:dyDescent="0.25">
      <c r="A149" s="7" t="s">
        <v>317</v>
      </c>
      <c r="B149" s="8"/>
      <c r="C149" s="8"/>
    </row>
    <row r="150" spans="1:5" x14ac:dyDescent="0.25">
      <c r="A150" s="7" t="s">
        <v>318</v>
      </c>
      <c r="B150" s="83"/>
      <c r="C150" s="6">
        <v>17000</v>
      </c>
    </row>
    <row r="151" spans="1:5" x14ac:dyDescent="0.25">
      <c r="A151" s="7" t="s">
        <v>319</v>
      </c>
      <c r="B151" s="83"/>
      <c r="C151" s="6">
        <v>2000</v>
      </c>
    </row>
    <row r="152" spans="1:5" x14ac:dyDescent="0.25">
      <c r="A152" s="7" t="s">
        <v>320</v>
      </c>
      <c r="B152" s="83"/>
      <c r="C152" s="6">
        <v>750</v>
      </c>
    </row>
    <row r="153" spans="1:5" x14ac:dyDescent="0.25">
      <c r="A153" s="7" t="s">
        <v>376</v>
      </c>
      <c r="B153" s="83"/>
      <c r="C153" s="6">
        <v>250</v>
      </c>
    </row>
    <row r="154" spans="1:5" x14ac:dyDescent="0.25">
      <c r="A154" s="7" t="s">
        <v>321</v>
      </c>
      <c r="B154" s="9">
        <f>((((B149)+(B150))+(B151))+(B152))+(B153)</f>
        <v>0</v>
      </c>
      <c r="C154" s="9">
        <f>((((C149)+(C150))+(C151))+(C152))+(C153)</f>
        <v>20000</v>
      </c>
    </row>
    <row r="155" spans="1:5" x14ac:dyDescent="0.25">
      <c r="A155" s="7" t="s">
        <v>364</v>
      </c>
      <c r="B155" s="6"/>
      <c r="C155" s="6">
        <v>1500</v>
      </c>
    </row>
    <row r="156" spans="1:5" hidden="1" x14ac:dyDescent="0.25">
      <c r="A156" s="7" t="s">
        <v>582</v>
      </c>
      <c r="B156" s="6"/>
      <c r="C156" s="6"/>
    </row>
    <row r="157" spans="1:5" x14ac:dyDescent="0.25">
      <c r="A157" s="7" t="s">
        <v>228</v>
      </c>
      <c r="B157" s="6"/>
      <c r="C157" s="6">
        <v>2000</v>
      </c>
    </row>
    <row r="158" spans="1:5" x14ac:dyDescent="0.25">
      <c r="A158" s="77" t="s">
        <v>229</v>
      </c>
      <c r="B158" s="9">
        <f>(((((((((((((((((((((B110)+(B111))+B112+(B113))+(B115))+(B116))+(B122))+(B123))+(B127))+(B128))+(B129))+(B130))+B131+(B132))+(B133))+(B134))+(B135))+B114+(B137))+(B141))+(B145))+(B148))+(B154))+(B155))+B156+(B157)</f>
        <v>2149.87</v>
      </c>
      <c r="C158" s="78">
        <f>(((((((((((((((((((((C110)+(C111))+(C113))+(C115))+(C116))+(C122))+(C123))+(C127))+(C128))+(C129))+(C130))+(C132))+(C133))+(C134))+(C135))+C114+(C137))+(C141))+(C145))+(C148))+(C154))+(C155))+(C157)</f>
        <v>52150</v>
      </c>
      <c r="D158" s="79"/>
      <c r="E158" s="79"/>
    </row>
    <row r="159" spans="1:5" x14ac:dyDescent="0.25">
      <c r="A159" s="7" t="s">
        <v>230</v>
      </c>
      <c r="B159" s="8"/>
      <c r="C159" s="8"/>
    </row>
    <row r="160" spans="1:5" x14ac:dyDescent="0.25">
      <c r="A160" s="7" t="s">
        <v>231</v>
      </c>
      <c r="B160" s="8"/>
      <c r="C160" s="8"/>
    </row>
    <row r="161" spans="1:3" x14ac:dyDescent="0.25">
      <c r="A161" s="7" t="s">
        <v>322</v>
      </c>
      <c r="B161" s="83">
        <v>254.75</v>
      </c>
      <c r="C161" s="6">
        <v>1000</v>
      </c>
    </row>
    <row r="162" spans="1:3" x14ac:dyDescent="0.25">
      <c r="A162" s="7" t="s">
        <v>554</v>
      </c>
      <c r="C162" s="6"/>
    </row>
    <row r="163" spans="1:3" x14ac:dyDescent="0.25">
      <c r="A163" s="7" t="s">
        <v>232</v>
      </c>
      <c r="B163" s="83">
        <v>5975.82</v>
      </c>
      <c r="C163" s="6">
        <v>16500</v>
      </c>
    </row>
    <row r="164" spans="1:3" x14ac:dyDescent="0.25">
      <c r="A164" s="7" t="s">
        <v>233</v>
      </c>
      <c r="B164" s="9">
        <f>SUM(B161:B163)</f>
        <v>6230.57</v>
      </c>
      <c r="C164" s="9">
        <f>((C160)+(C161))+(C163)</f>
        <v>17500</v>
      </c>
    </row>
    <row r="165" spans="1:3" x14ac:dyDescent="0.25">
      <c r="A165" s="7" t="s">
        <v>234</v>
      </c>
      <c r="B165" s="8"/>
      <c r="C165" s="8"/>
    </row>
    <row r="166" spans="1:3" x14ac:dyDescent="0.25">
      <c r="A166" s="7" t="s">
        <v>235</v>
      </c>
      <c r="B166" s="83">
        <v>191.08</v>
      </c>
      <c r="C166" s="6">
        <v>2750</v>
      </c>
    </row>
    <row r="167" spans="1:3" x14ac:dyDescent="0.25">
      <c r="A167" s="7" t="s">
        <v>323</v>
      </c>
      <c r="B167" s="83">
        <v>517.59</v>
      </c>
      <c r="C167" s="6">
        <v>1750</v>
      </c>
    </row>
    <row r="168" spans="1:3" x14ac:dyDescent="0.25">
      <c r="A168" s="7" t="s">
        <v>324</v>
      </c>
      <c r="B168" s="83"/>
      <c r="C168" s="6">
        <v>3000</v>
      </c>
    </row>
    <row r="169" spans="1:3" x14ac:dyDescent="0.25">
      <c r="A169" s="7" t="s">
        <v>236</v>
      </c>
      <c r="B169" s="9">
        <f>(((B165)+(B166))+(B167))+(B168)</f>
        <v>708.67000000000007</v>
      </c>
      <c r="C169" s="9">
        <f>(((C165)+(C166))+(C167))+(C168)</f>
        <v>7500</v>
      </c>
    </row>
    <row r="170" spans="1:3" x14ac:dyDescent="0.25">
      <c r="A170" s="7" t="s">
        <v>325</v>
      </c>
      <c r="B170" s="8"/>
      <c r="C170" s="8"/>
    </row>
    <row r="171" spans="1:3" x14ac:dyDescent="0.25">
      <c r="A171" s="7" t="s">
        <v>326</v>
      </c>
      <c r="B171" s="83"/>
      <c r="C171" s="6">
        <v>500</v>
      </c>
    </row>
    <row r="172" spans="1:3" x14ac:dyDescent="0.25">
      <c r="A172" s="7" t="s">
        <v>327</v>
      </c>
      <c r="B172" s="83"/>
      <c r="C172" s="6">
        <v>1200</v>
      </c>
    </row>
    <row r="173" spans="1:3" x14ac:dyDescent="0.25">
      <c r="A173" s="7" t="s">
        <v>328</v>
      </c>
      <c r="B173" s="83"/>
      <c r="C173" s="6">
        <v>250</v>
      </c>
    </row>
    <row r="174" spans="1:3" x14ac:dyDescent="0.25">
      <c r="A174" s="7" t="s">
        <v>329</v>
      </c>
      <c r="B174" s="74"/>
      <c r="C174" s="6">
        <v>250</v>
      </c>
    </row>
    <row r="175" spans="1:3" x14ac:dyDescent="0.25">
      <c r="A175" s="7" t="s">
        <v>330</v>
      </c>
      <c r="B175" s="74"/>
      <c r="C175" s="6">
        <v>2750</v>
      </c>
    </row>
    <row r="176" spans="1:3" x14ac:dyDescent="0.25">
      <c r="A176" s="7" t="s">
        <v>331</v>
      </c>
      <c r="B176" s="126"/>
      <c r="C176" s="6">
        <v>250</v>
      </c>
    </row>
    <row r="177" spans="1:3" x14ac:dyDescent="0.25">
      <c r="A177" s="7" t="s">
        <v>377</v>
      </c>
      <c r="B177" s="126"/>
      <c r="C177" s="6">
        <v>500</v>
      </c>
    </row>
    <row r="178" spans="1:3" x14ac:dyDescent="0.25">
      <c r="A178" s="7" t="s">
        <v>332</v>
      </c>
      <c r="B178" s="9">
        <f>(((((((B170)+(B171))+(B172))+(B173))+(B174))+(B175))+(B176))+(B177)</f>
        <v>0</v>
      </c>
      <c r="C178" s="9">
        <f>(((((((C170)+(C171))+(C172))+(C173))+(C174))+(C175))+(C176))+(C177)</f>
        <v>5700</v>
      </c>
    </row>
    <row r="179" spans="1:3" x14ac:dyDescent="0.25">
      <c r="A179" s="7" t="s">
        <v>333</v>
      </c>
      <c r="B179" s="8"/>
      <c r="C179" s="8"/>
    </row>
    <row r="180" spans="1:3" x14ac:dyDescent="0.25">
      <c r="A180" s="7" t="s">
        <v>334</v>
      </c>
      <c r="B180" s="83"/>
      <c r="C180" s="6">
        <v>150</v>
      </c>
    </row>
    <row r="181" spans="1:3" x14ac:dyDescent="0.25">
      <c r="A181" s="7" t="s">
        <v>565</v>
      </c>
      <c r="B181" s="6"/>
      <c r="C181" s="6"/>
    </row>
    <row r="182" spans="1:3" x14ac:dyDescent="0.25">
      <c r="A182" s="7" t="s">
        <v>335</v>
      </c>
      <c r="B182" s="6">
        <v>913.5</v>
      </c>
      <c r="C182" s="6">
        <v>150</v>
      </c>
    </row>
    <row r="183" spans="1:3" x14ac:dyDescent="0.25">
      <c r="A183" s="7" t="s">
        <v>393</v>
      </c>
      <c r="B183" s="83"/>
      <c r="C183" s="6">
        <v>500</v>
      </c>
    </row>
    <row r="184" spans="1:3" x14ac:dyDescent="0.25">
      <c r="A184" s="7" t="s">
        <v>336</v>
      </c>
      <c r="B184" s="83"/>
      <c r="C184" s="6">
        <v>4000</v>
      </c>
    </row>
    <row r="185" spans="1:3" x14ac:dyDescent="0.25">
      <c r="A185" s="7" t="s">
        <v>337</v>
      </c>
      <c r="B185" s="83"/>
      <c r="C185" s="6">
        <v>1500</v>
      </c>
    </row>
    <row r="186" spans="1:3" x14ac:dyDescent="0.25">
      <c r="A186" s="7" t="s">
        <v>338</v>
      </c>
      <c r="B186" s="83"/>
      <c r="C186" s="6">
        <v>700</v>
      </c>
    </row>
    <row r="187" spans="1:3" x14ac:dyDescent="0.25">
      <c r="A187" s="7" t="s">
        <v>339</v>
      </c>
      <c r="B187" s="83">
        <v>80</v>
      </c>
      <c r="C187" s="6">
        <v>6000</v>
      </c>
    </row>
    <row r="188" spans="1:3" x14ac:dyDescent="0.25">
      <c r="A188" s="7" t="s">
        <v>340</v>
      </c>
      <c r="B188" s="6"/>
      <c r="C188" s="6">
        <v>3000</v>
      </c>
    </row>
    <row r="189" spans="1:3" x14ac:dyDescent="0.25">
      <c r="A189" s="7" t="s">
        <v>519</v>
      </c>
      <c r="B189" s="6"/>
      <c r="C189" s="6">
        <v>0</v>
      </c>
    </row>
    <row r="190" spans="1:3" x14ac:dyDescent="0.25">
      <c r="A190" s="7" t="s">
        <v>694</v>
      </c>
      <c r="B190" s="6">
        <v>1124.6099999999999</v>
      </c>
      <c r="C190" s="6">
        <v>0</v>
      </c>
    </row>
    <row r="191" spans="1:3" x14ac:dyDescent="0.25">
      <c r="A191" s="7" t="s">
        <v>341</v>
      </c>
      <c r="B191" s="6"/>
      <c r="C191" s="6">
        <v>250</v>
      </c>
    </row>
    <row r="192" spans="1:3" x14ac:dyDescent="0.25">
      <c r="A192" s="7" t="s">
        <v>342</v>
      </c>
      <c r="B192" s="9">
        <f>SUM(B180:B191)</f>
        <v>2118.1099999999997</v>
      </c>
      <c r="C192" s="9">
        <f>(((((((((C179)+(C180))+(C182))+(C183))+(C184))+(C185))+(C186))+(C187))+(C188))+(C191)</f>
        <v>16250</v>
      </c>
    </row>
    <row r="193" spans="1:10" x14ac:dyDescent="0.25">
      <c r="A193" s="7" t="s">
        <v>237</v>
      </c>
      <c r="B193" s="9">
        <f>((((B159)+(B164))+(B169))+(B178))+(B192)</f>
        <v>9057.3499999999985</v>
      </c>
      <c r="C193" s="9">
        <f>((((C159)+(C164))+(C169))+(C178))+(C192)</f>
        <v>46950</v>
      </c>
    </row>
    <row r="194" spans="1:10" x14ac:dyDescent="0.25">
      <c r="A194" s="7" t="s">
        <v>238</v>
      </c>
      <c r="B194" s="9">
        <f>B70+B92+B107+B158+B193</f>
        <v>28471.96</v>
      </c>
      <c r="C194" s="73">
        <f>C70+C92+C107+C158+C193</f>
        <v>352966</v>
      </c>
    </row>
    <row r="195" spans="1:10" x14ac:dyDescent="0.25">
      <c r="A195" s="7" t="s">
        <v>270</v>
      </c>
      <c r="B195" s="9">
        <f>B194</f>
        <v>28471.96</v>
      </c>
      <c r="C195" s="9">
        <f>C194</f>
        <v>352966</v>
      </c>
    </row>
    <row r="196" spans="1:10" x14ac:dyDescent="0.25">
      <c r="A196" s="7" t="s">
        <v>271</v>
      </c>
      <c r="B196" s="127">
        <f>(B41)-(B195)</f>
        <v>-527.61999999999898</v>
      </c>
      <c r="C196" s="9">
        <f>(C41)-(C195)</f>
        <v>234</v>
      </c>
    </row>
    <row r="197" spans="1:10" x14ac:dyDescent="0.25">
      <c r="A197" s="7"/>
      <c r="B197" s="9"/>
      <c r="C197" s="9"/>
    </row>
    <row r="198" spans="1:10" x14ac:dyDescent="0.25">
      <c r="A198" s="7"/>
      <c r="B198" s="128"/>
      <c r="C198" s="8"/>
    </row>
    <row r="199" spans="1:10" x14ac:dyDescent="0.25">
      <c r="A199" s="7"/>
      <c r="B199" s="128"/>
      <c r="C199" s="8"/>
    </row>
    <row r="200" spans="1:10" x14ac:dyDescent="0.25">
      <c r="A200" s="7"/>
      <c r="B200" s="128"/>
      <c r="C200" s="8"/>
    </row>
    <row r="201" spans="1:10" x14ac:dyDescent="0.25">
      <c r="A201" s="7"/>
      <c r="B201" s="128"/>
      <c r="C201" s="8"/>
    </row>
    <row r="202" spans="1:10" x14ac:dyDescent="0.25">
      <c r="A202" s="7"/>
      <c r="B202" s="128"/>
      <c r="C202" s="8"/>
    </row>
    <row r="203" spans="1:10" ht="24" customHeight="1" x14ac:dyDescent="0.25">
      <c r="A203" s="7" t="s">
        <v>657</v>
      </c>
      <c r="B203" s="129"/>
      <c r="E203" s="56"/>
    </row>
    <row r="204" spans="1:10" x14ac:dyDescent="0.25">
      <c r="B204" s="1"/>
    </row>
    <row r="205" spans="1:10" ht="15.75" thickBot="1" x14ac:dyDescent="0.3">
      <c r="B205" s="130">
        <f>B196+B203+B204</f>
        <v>-527.61999999999898</v>
      </c>
    </row>
    <row r="206" spans="1:10" ht="21.6" customHeight="1" x14ac:dyDescent="0.25">
      <c r="A206" s="7"/>
      <c r="B206" s="128"/>
      <c r="C206" s="55"/>
      <c r="E206" s="56"/>
    </row>
    <row r="207" spans="1:10" x14ac:dyDescent="0.25">
      <c r="A207" t="s">
        <v>403</v>
      </c>
      <c r="B207" s="131">
        <v>-5265.49</v>
      </c>
      <c r="E207" s="80"/>
    </row>
    <row r="208" spans="1:10" x14ac:dyDescent="0.25">
      <c r="A208" t="s">
        <v>475</v>
      </c>
      <c r="B208" s="1"/>
      <c r="J208" s="51"/>
    </row>
    <row r="209" spans="1:10" x14ac:dyDescent="0.25">
      <c r="A209" t="s">
        <v>616</v>
      </c>
      <c r="B209" s="1"/>
      <c r="J209" s="51"/>
    </row>
    <row r="210" spans="1:10" x14ac:dyDescent="0.25">
      <c r="A210" t="s">
        <v>695</v>
      </c>
      <c r="B210" s="1">
        <v>-80</v>
      </c>
      <c r="J210" s="51"/>
    </row>
    <row r="211" spans="1:10" x14ac:dyDescent="0.25">
      <c r="A211" t="s">
        <v>664</v>
      </c>
      <c r="B211" s="1"/>
    </row>
    <row r="212" spans="1:10" x14ac:dyDescent="0.25">
      <c r="A212" t="s">
        <v>665</v>
      </c>
      <c r="B212" s="128"/>
      <c r="G212" s="51"/>
    </row>
    <row r="213" spans="1:10" x14ac:dyDescent="0.25">
      <c r="A213" t="s">
        <v>473</v>
      </c>
      <c r="B213" s="132">
        <v>2273.0700000000002</v>
      </c>
    </row>
    <row r="214" spans="1:10" x14ac:dyDescent="0.25">
      <c r="A214" t="s">
        <v>411</v>
      </c>
      <c r="B214" s="133"/>
    </row>
    <row r="215" spans="1:10" x14ac:dyDescent="0.25">
      <c r="D215" s="1"/>
    </row>
    <row r="216" spans="1:10" x14ac:dyDescent="0.25">
      <c r="A216" t="s">
        <v>404</v>
      </c>
      <c r="B216" s="133"/>
    </row>
    <row r="217" spans="1:10" x14ac:dyDescent="0.25">
      <c r="B217" s="1"/>
    </row>
    <row r="218" spans="1:10" ht="15.75" thickBot="1" x14ac:dyDescent="0.3">
      <c r="A218" s="12" t="s">
        <v>405</v>
      </c>
      <c r="B218" s="134">
        <f>SUM(B205:B216)</f>
        <v>-3600.0399999999986</v>
      </c>
    </row>
    <row r="219" spans="1:10" ht="15.75" thickTop="1" x14ac:dyDescent="0.25">
      <c r="B219" s="1"/>
    </row>
    <row r="220" spans="1:10" x14ac:dyDescent="0.25">
      <c r="B220" s="1"/>
    </row>
    <row r="221" spans="1:10" x14ac:dyDescent="0.25">
      <c r="B221" s="1"/>
    </row>
    <row r="222" spans="1:10" x14ac:dyDescent="0.25">
      <c r="B222" s="1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AFE05-3335-4A47-A8C3-5097216D9A5B}">
  <dimension ref="A1:F171"/>
  <sheetViews>
    <sheetView workbookViewId="0">
      <pane ySplit="5" topLeftCell="A6" activePane="bottomLeft" state="frozen"/>
      <selection pane="bottomLeft" sqref="A1:F1"/>
    </sheetView>
  </sheetViews>
  <sheetFormatPr defaultColWidth="8.85546875" defaultRowHeight="15" x14ac:dyDescent="0.25"/>
  <cols>
    <col min="1" max="1" width="55" customWidth="1"/>
    <col min="2" max="3" width="9.42578125" customWidth="1"/>
    <col min="4" max="4" width="10.28515625" customWidth="1"/>
    <col min="5" max="5" width="11.140625" customWidth="1"/>
    <col min="6" max="6" width="12" customWidth="1"/>
  </cols>
  <sheetData>
    <row r="1" spans="1:6" ht="18" x14ac:dyDescent="0.25">
      <c r="A1" s="268" t="s">
        <v>63</v>
      </c>
      <c r="B1" s="269"/>
      <c r="C1" s="269"/>
      <c r="D1" s="269"/>
      <c r="E1" s="269"/>
      <c r="F1" s="269"/>
    </row>
    <row r="2" spans="1:6" ht="18" x14ac:dyDescent="0.25">
      <c r="A2" s="268" t="s">
        <v>533</v>
      </c>
      <c r="B2" s="269"/>
      <c r="C2" s="269"/>
      <c r="D2" s="269"/>
      <c r="E2" s="269"/>
      <c r="F2" s="269"/>
    </row>
    <row r="3" spans="1:6" x14ac:dyDescent="0.25">
      <c r="A3" s="270" t="s">
        <v>689</v>
      </c>
      <c r="B3" s="269"/>
      <c r="C3" s="269"/>
      <c r="D3" s="269"/>
      <c r="E3" s="269"/>
      <c r="F3" s="269"/>
    </row>
    <row r="5" spans="1:6" x14ac:dyDescent="0.25">
      <c r="A5" s="11"/>
      <c r="B5" s="137" t="s">
        <v>4</v>
      </c>
      <c r="C5" s="137" t="s">
        <v>5</v>
      </c>
      <c r="D5" s="137" t="s">
        <v>6</v>
      </c>
      <c r="E5" s="137" t="s">
        <v>522</v>
      </c>
      <c r="F5" s="137" t="s">
        <v>7</v>
      </c>
    </row>
    <row r="6" spans="1:6" x14ac:dyDescent="0.25">
      <c r="A6" s="138" t="s">
        <v>0</v>
      </c>
      <c r="B6" s="139"/>
      <c r="C6" s="139"/>
      <c r="D6" s="139"/>
      <c r="E6" s="139"/>
      <c r="F6" s="139"/>
    </row>
    <row r="7" spans="1:6" x14ac:dyDescent="0.25">
      <c r="A7" s="138" t="s">
        <v>178</v>
      </c>
      <c r="B7" s="139"/>
      <c r="C7" s="139"/>
      <c r="D7" s="139"/>
      <c r="E7" s="139"/>
      <c r="F7" s="140">
        <f t="shared" ref="F7:F42" si="0">(((B7)+(C7))+(D7))+(E7)</f>
        <v>0</v>
      </c>
    </row>
    <row r="8" spans="1:6" x14ac:dyDescent="0.25">
      <c r="A8" s="138" t="s">
        <v>179</v>
      </c>
      <c r="B8" s="139"/>
      <c r="C8" s="139"/>
      <c r="D8" s="139"/>
      <c r="E8" s="139"/>
      <c r="F8" s="140">
        <f t="shared" si="0"/>
        <v>0</v>
      </c>
    </row>
    <row r="9" spans="1:6" x14ac:dyDescent="0.25">
      <c r="A9" s="138" t="s">
        <v>180</v>
      </c>
      <c r="B9" s="139"/>
      <c r="C9" s="139"/>
      <c r="D9" s="140">
        <f>136826.22</f>
        <v>136826.22</v>
      </c>
      <c r="E9" s="139"/>
      <c r="F9" s="140">
        <f t="shared" si="0"/>
        <v>136826.22</v>
      </c>
    </row>
    <row r="10" spans="1:6" x14ac:dyDescent="0.25">
      <c r="A10" s="138" t="s">
        <v>181</v>
      </c>
      <c r="B10" s="139"/>
      <c r="C10" s="139"/>
      <c r="D10" s="140">
        <f>-125168.79</f>
        <v>-125168.79</v>
      </c>
      <c r="E10" s="139"/>
      <c r="F10" s="140">
        <f t="shared" si="0"/>
        <v>-125168.79</v>
      </c>
    </row>
    <row r="11" spans="1:6" x14ac:dyDescent="0.25">
      <c r="A11" s="138" t="s">
        <v>182</v>
      </c>
      <c r="B11" s="141">
        <f>((B8)+(B9))+(B10)</f>
        <v>0</v>
      </c>
      <c r="C11" s="141">
        <f>((C8)+(C9))+(C10)</f>
        <v>0</v>
      </c>
      <c r="D11" s="141">
        <f>((D8)+(D9))+(D10)</f>
        <v>11657.430000000008</v>
      </c>
      <c r="E11" s="141">
        <f>((E8)+(E9))+(E10)</f>
        <v>0</v>
      </c>
      <c r="F11" s="141">
        <f t="shared" si="0"/>
        <v>11657.430000000008</v>
      </c>
    </row>
    <row r="12" spans="1:6" x14ac:dyDescent="0.25">
      <c r="A12" s="138" t="s">
        <v>366</v>
      </c>
      <c r="B12" s="139"/>
      <c r="C12" s="139"/>
      <c r="D12" s="139"/>
      <c r="E12" s="140">
        <f>187651.8</f>
        <v>187651.8</v>
      </c>
      <c r="F12" s="140">
        <f t="shared" si="0"/>
        <v>187651.8</v>
      </c>
    </row>
    <row r="13" spans="1:6" x14ac:dyDescent="0.25">
      <c r="A13" s="138" t="s">
        <v>183</v>
      </c>
      <c r="B13" s="139"/>
      <c r="C13" s="139"/>
      <c r="D13" s="139"/>
      <c r="E13" s="139"/>
      <c r="F13" s="140">
        <f t="shared" si="0"/>
        <v>0</v>
      </c>
    </row>
    <row r="14" spans="1:6" x14ac:dyDescent="0.25">
      <c r="A14" s="138" t="s">
        <v>185</v>
      </c>
      <c r="B14" s="139"/>
      <c r="C14" s="139"/>
      <c r="D14" s="139"/>
      <c r="E14" s="140">
        <f>-170189.54</f>
        <v>-170189.54</v>
      </c>
      <c r="F14" s="140">
        <f t="shared" si="0"/>
        <v>-170189.54</v>
      </c>
    </row>
    <row r="15" spans="1:6" x14ac:dyDescent="0.25">
      <c r="A15" s="138" t="s">
        <v>186</v>
      </c>
      <c r="B15" s="141">
        <f>(B13)+(B14)</f>
        <v>0</v>
      </c>
      <c r="C15" s="141">
        <f>(C13)+(C14)</f>
        <v>0</v>
      </c>
      <c r="D15" s="141">
        <f>(D13)+(D14)</f>
        <v>0</v>
      </c>
      <c r="E15" s="141">
        <f>(E13)+(E14)</f>
        <v>-170189.54</v>
      </c>
      <c r="F15" s="141">
        <f t="shared" si="0"/>
        <v>-170189.54</v>
      </c>
    </row>
    <row r="16" spans="1:6" x14ac:dyDescent="0.25">
      <c r="A16" s="138" t="s">
        <v>367</v>
      </c>
      <c r="B16" s="141">
        <f>(B12)+(B15)</f>
        <v>0</v>
      </c>
      <c r="C16" s="141">
        <f>(C12)+(C15)</f>
        <v>0</v>
      </c>
      <c r="D16" s="141">
        <f>(D12)+(D15)</f>
        <v>0</v>
      </c>
      <c r="E16" s="141">
        <f>(E12)+(E15)</f>
        <v>17462.25999999998</v>
      </c>
      <c r="F16" s="141">
        <f t="shared" si="0"/>
        <v>17462.25999999998</v>
      </c>
    </row>
    <row r="17" spans="1:6" x14ac:dyDescent="0.25">
      <c r="A17" s="138" t="s">
        <v>187</v>
      </c>
      <c r="B17" s="139"/>
      <c r="C17" s="139"/>
      <c r="D17" s="139"/>
      <c r="E17" s="139"/>
      <c r="F17" s="140">
        <f t="shared" si="0"/>
        <v>0</v>
      </c>
    </row>
    <row r="18" spans="1:6" x14ac:dyDescent="0.25">
      <c r="A18" s="138" t="s">
        <v>191</v>
      </c>
      <c r="B18" s="139"/>
      <c r="C18" s="139"/>
      <c r="D18" s="139"/>
      <c r="E18" s="139"/>
      <c r="F18" s="140">
        <f t="shared" si="0"/>
        <v>0</v>
      </c>
    </row>
    <row r="19" spans="1:6" x14ac:dyDescent="0.25">
      <c r="A19" s="138" t="s">
        <v>492</v>
      </c>
      <c r="B19" s="139"/>
      <c r="C19" s="139"/>
      <c r="D19" s="139"/>
      <c r="E19" s="140">
        <f>0.9</f>
        <v>0.9</v>
      </c>
      <c r="F19" s="140">
        <f t="shared" si="0"/>
        <v>0.9</v>
      </c>
    </row>
    <row r="20" spans="1:6" x14ac:dyDescent="0.25">
      <c r="A20" s="138" t="s">
        <v>669</v>
      </c>
      <c r="B20" s="139"/>
      <c r="C20" s="139"/>
      <c r="D20" s="139"/>
      <c r="E20" s="140">
        <f>1159</f>
        <v>1159</v>
      </c>
      <c r="F20" s="140">
        <f t="shared" si="0"/>
        <v>1159</v>
      </c>
    </row>
    <row r="21" spans="1:6" x14ac:dyDescent="0.25">
      <c r="A21" s="138" t="s">
        <v>192</v>
      </c>
      <c r="B21" s="141">
        <f>((B18)+(B19))+(B20)</f>
        <v>0</v>
      </c>
      <c r="C21" s="141">
        <f>((C18)+(C19))+(C20)</f>
        <v>0</v>
      </c>
      <c r="D21" s="141">
        <f>((D18)+(D19))+(D20)</f>
        <v>0</v>
      </c>
      <c r="E21" s="141">
        <f>((E18)+(E19))+(E20)</f>
        <v>1159.9000000000001</v>
      </c>
      <c r="F21" s="141">
        <f t="shared" si="0"/>
        <v>1159.9000000000001</v>
      </c>
    </row>
    <row r="22" spans="1:6" x14ac:dyDescent="0.25">
      <c r="A22" s="138" t="s">
        <v>193</v>
      </c>
      <c r="B22" s="141">
        <f>(B17)+(B21)</f>
        <v>0</v>
      </c>
      <c r="C22" s="141">
        <f>(C17)+(C21)</f>
        <v>0</v>
      </c>
      <c r="D22" s="141">
        <f>(D17)+(D21)</f>
        <v>0</v>
      </c>
      <c r="E22" s="141">
        <f>(E17)+(E21)</f>
        <v>1159.9000000000001</v>
      </c>
      <c r="F22" s="141">
        <f t="shared" si="0"/>
        <v>1159.9000000000001</v>
      </c>
    </row>
    <row r="23" spans="1:6" x14ac:dyDescent="0.25">
      <c r="A23" s="138" t="s">
        <v>194</v>
      </c>
      <c r="B23" s="141">
        <f>(((B7)+(B11))+(B16))+(B22)</f>
        <v>0</v>
      </c>
      <c r="C23" s="141">
        <f>(((C7)+(C11))+(C16))+(C22)</f>
        <v>0</v>
      </c>
      <c r="D23" s="141">
        <f>(((D7)+(D11))+(D16))+(D22)</f>
        <v>11657.430000000008</v>
      </c>
      <c r="E23" s="141">
        <f>(((E7)+(E11))+(E16))+(E22)</f>
        <v>18622.159999999982</v>
      </c>
      <c r="F23" s="141">
        <f t="shared" si="0"/>
        <v>30279.589999999989</v>
      </c>
    </row>
    <row r="24" spans="1:6" x14ac:dyDescent="0.25">
      <c r="A24" s="138" t="s">
        <v>195</v>
      </c>
      <c r="B24" s="139"/>
      <c r="C24" s="139"/>
      <c r="D24" s="139"/>
      <c r="E24" s="139"/>
      <c r="F24" s="140">
        <f t="shared" si="0"/>
        <v>0</v>
      </c>
    </row>
    <row r="25" spans="1:6" x14ac:dyDescent="0.25">
      <c r="A25" s="138" t="s">
        <v>196</v>
      </c>
      <c r="B25" s="139"/>
      <c r="C25" s="139"/>
      <c r="D25" s="139"/>
      <c r="E25" s="139"/>
      <c r="F25" s="140">
        <f t="shared" si="0"/>
        <v>0</v>
      </c>
    </row>
    <row r="26" spans="1:6" x14ac:dyDescent="0.25">
      <c r="A26" s="138" t="s">
        <v>197</v>
      </c>
      <c r="B26" s="140">
        <f>6525</f>
        <v>6525</v>
      </c>
      <c r="C26" s="139"/>
      <c r="D26" s="139"/>
      <c r="E26" s="139"/>
      <c r="F26" s="140">
        <f t="shared" si="0"/>
        <v>6525</v>
      </c>
    </row>
    <row r="27" spans="1:6" x14ac:dyDescent="0.25">
      <c r="A27" s="138" t="s">
        <v>198</v>
      </c>
      <c r="B27" s="140">
        <f>350</f>
        <v>350</v>
      </c>
      <c r="C27" s="139"/>
      <c r="D27" s="139"/>
      <c r="E27" s="139"/>
      <c r="F27" s="140">
        <f t="shared" si="0"/>
        <v>350</v>
      </c>
    </row>
    <row r="28" spans="1:6" x14ac:dyDescent="0.25">
      <c r="A28" s="138" t="s">
        <v>199</v>
      </c>
      <c r="B28" s="141">
        <f>((B25)+(B26))+(B27)</f>
        <v>6875</v>
      </c>
      <c r="C28" s="141">
        <f>((C25)+(C26))+(C27)</f>
        <v>0</v>
      </c>
      <c r="D28" s="141">
        <f>((D25)+(D26))+(D27)</f>
        <v>0</v>
      </c>
      <c r="E28" s="141">
        <f>((E25)+(E26))+(E27)</f>
        <v>0</v>
      </c>
      <c r="F28" s="141">
        <f t="shared" si="0"/>
        <v>6875</v>
      </c>
    </row>
    <row r="29" spans="1:6" x14ac:dyDescent="0.25">
      <c r="A29" s="138" t="s">
        <v>200</v>
      </c>
      <c r="B29" s="139"/>
      <c r="C29" s="139"/>
      <c r="D29" s="139"/>
      <c r="E29" s="139"/>
      <c r="F29" s="140">
        <f t="shared" si="0"/>
        <v>0</v>
      </c>
    </row>
    <row r="30" spans="1:6" x14ac:dyDescent="0.25">
      <c r="A30" s="138" t="s">
        <v>201</v>
      </c>
      <c r="B30" s="139"/>
      <c r="C30" s="139"/>
      <c r="D30" s="139"/>
      <c r="E30" s="139"/>
      <c r="F30" s="140">
        <f t="shared" si="0"/>
        <v>0</v>
      </c>
    </row>
    <row r="31" spans="1:6" x14ac:dyDescent="0.25">
      <c r="A31" s="138" t="s">
        <v>363</v>
      </c>
      <c r="B31" s="140">
        <f>1133.29</f>
        <v>1133.29</v>
      </c>
      <c r="C31" s="139"/>
      <c r="D31" s="139"/>
      <c r="E31" s="139"/>
      <c r="F31" s="140">
        <f t="shared" si="0"/>
        <v>1133.29</v>
      </c>
    </row>
    <row r="32" spans="1:6" x14ac:dyDescent="0.25">
      <c r="A32" s="138" t="s">
        <v>203</v>
      </c>
      <c r="B32" s="140">
        <f>2500</f>
        <v>2500</v>
      </c>
      <c r="C32" s="139"/>
      <c r="D32" s="139"/>
      <c r="E32" s="139"/>
      <c r="F32" s="140">
        <f t="shared" si="0"/>
        <v>2500</v>
      </c>
    </row>
    <row r="33" spans="1:6" x14ac:dyDescent="0.25">
      <c r="A33" s="138" t="s">
        <v>284</v>
      </c>
      <c r="B33" s="140">
        <f>15000</f>
        <v>15000</v>
      </c>
      <c r="C33" s="139"/>
      <c r="D33" s="139"/>
      <c r="E33" s="139"/>
      <c r="F33" s="140">
        <f t="shared" si="0"/>
        <v>15000</v>
      </c>
    </row>
    <row r="34" spans="1:6" x14ac:dyDescent="0.25">
      <c r="A34" s="138" t="s">
        <v>204</v>
      </c>
      <c r="B34" s="141">
        <f>(((B30)+(B31))+(B32))+(B33)</f>
        <v>18633.29</v>
      </c>
      <c r="C34" s="141">
        <f>(((C30)+(C31))+(C32))+(C33)</f>
        <v>0</v>
      </c>
      <c r="D34" s="141">
        <f>(((D30)+(D31))+(D32))+(D33)</f>
        <v>0</v>
      </c>
      <c r="E34" s="141">
        <f>(((E30)+(E31))+(E32))+(E33)</f>
        <v>0</v>
      </c>
      <c r="F34" s="141">
        <f t="shared" si="0"/>
        <v>18633.29</v>
      </c>
    </row>
    <row r="35" spans="1:6" x14ac:dyDescent="0.25">
      <c r="A35" s="138" t="s">
        <v>206</v>
      </c>
      <c r="B35" s="141">
        <f>(B29)+(B34)</f>
        <v>18633.29</v>
      </c>
      <c r="C35" s="141">
        <f>(C29)+(C34)</f>
        <v>0</v>
      </c>
      <c r="D35" s="141">
        <f>(D29)+(D34)</f>
        <v>0</v>
      </c>
      <c r="E35" s="141">
        <f>(E29)+(E34)</f>
        <v>0</v>
      </c>
      <c r="F35" s="141">
        <f t="shared" si="0"/>
        <v>18633.29</v>
      </c>
    </row>
    <row r="36" spans="1:6" x14ac:dyDescent="0.25">
      <c r="A36" s="138" t="s">
        <v>658</v>
      </c>
      <c r="B36" s="139"/>
      <c r="C36" s="139"/>
      <c r="D36" s="139"/>
      <c r="E36" s="139"/>
      <c r="F36" s="140">
        <f t="shared" si="0"/>
        <v>0</v>
      </c>
    </row>
    <row r="37" spans="1:6" x14ac:dyDescent="0.25">
      <c r="A37" s="138" t="s">
        <v>590</v>
      </c>
      <c r="B37" s="140">
        <f>500</f>
        <v>500</v>
      </c>
      <c r="C37" s="139"/>
      <c r="D37" s="139"/>
      <c r="E37" s="139"/>
      <c r="F37" s="140">
        <f t="shared" si="0"/>
        <v>500</v>
      </c>
    </row>
    <row r="38" spans="1:6" x14ac:dyDescent="0.25">
      <c r="A38" s="138" t="s">
        <v>659</v>
      </c>
      <c r="B38" s="141">
        <f>(B36)+(B37)</f>
        <v>500</v>
      </c>
      <c r="C38" s="141">
        <f>(C36)+(C37)</f>
        <v>0</v>
      </c>
      <c r="D38" s="141">
        <f>(D36)+(D37)</f>
        <v>0</v>
      </c>
      <c r="E38" s="141">
        <f>(E36)+(E37)</f>
        <v>0</v>
      </c>
      <c r="F38" s="141">
        <f t="shared" si="0"/>
        <v>500</v>
      </c>
    </row>
    <row r="39" spans="1:6" x14ac:dyDescent="0.25">
      <c r="A39" s="138" t="s">
        <v>580</v>
      </c>
      <c r="B39" s="140">
        <f>1936.05</f>
        <v>1936.05</v>
      </c>
      <c r="C39" s="139"/>
      <c r="D39" s="139"/>
      <c r="E39" s="139"/>
      <c r="F39" s="140">
        <f t="shared" si="0"/>
        <v>1936.05</v>
      </c>
    </row>
    <row r="40" spans="1:6" x14ac:dyDescent="0.25">
      <c r="A40" s="138" t="s">
        <v>207</v>
      </c>
      <c r="B40" s="141">
        <f>((((B24)+(B28))+(B35))+(B38))+(B39)</f>
        <v>27944.34</v>
      </c>
      <c r="C40" s="141">
        <f>((((C24)+(C28))+(C35))+(C38))+(C39)</f>
        <v>0</v>
      </c>
      <c r="D40" s="141">
        <f>((((D24)+(D28))+(D35))+(D38))+(D39)</f>
        <v>0</v>
      </c>
      <c r="E40" s="141">
        <f>((((E24)+(E28))+(E35))+(E38))+(E39)</f>
        <v>0</v>
      </c>
      <c r="F40" s="141">
        <f t="shared" si="0"/>
        <v>27944.34</v>
      </c>
    </row>
    <row r="41" spans="1:6" x14ac:dyDescent="0.25">
      <c r="A41" s="138" t="s">
        <v>1</v>
      </c>
      <c r="B41" s="141">
        <f>(B23)+(B40)</f>
        <v>27944.34</v>
      </c>
      <c r="C41" s="141">
        <f>(C23)+(C40)</f>
        <v>0</v>
      </c>
      <c r="D41" s="141">
        <f>(D23)+(D40)</f>
        <v>11657.430000000008</v>
      </c>
      <c r="E41" s="141">
        <f>(E23)+(E40)</f>
        <v>18622.159999999982</v>
      </c>
      <c r="F41" s="141">
        <f t="shared" si="0"/>
        <v>58223.929999999986</v>
      </c>
    </row>
    <row r="42" spans="1:6" x14ac:dyDescent="0.25">
      <c r="A42" s="138" t="s">
        <v>2</v>
      </c>
      <c r="B42" s="141">
        <f>(B41)-(0)</f>
        <v>27944.34</v>
      </c>
      <c r="C42" s="141">
        <f>(C41)-(0)</f>
        <v>0</v>
      </c>
      <c r="D42" s="141">
        <f>(D41)-(0)</f>
        <v>11657.430000000008</v>
      </c>
      <c r="E42" s="141">
        <f>(E41)-(0)</f>
        <v>18622.159999999982</v>
      </c>
      <c r="F42" s="141">
        <f t="shared" si="0"/>
        <v>58223.929999999986</v>
      </c>
    </row>
    <row r="43" spans="1:6" x14ac:dyDescent="0.25">
      <c r="A43" s="138" t="s">
        <v>208</v>
      </c>
      <c r="B43" s="139"/>
      <c r="C43" s="139"/>
      <c r="D43" s="139"/>
      <c r="E43" s="139"/>
      <c r="F43" s="139"/>
    </row>
    <row r="44" spans="1:6" x14ac:dyDescent="0.25">
      <c r="A44" s="138" t="s">
        <v>209</v>
      </c>
      <c r="B44" s="139"/>
      <c r="C44" s="139"/>
      <c r="D44" s="139"/>
      <c r="E44" s="139"/>
      <c r="F44" s="140">
        <f t="shared" ref="F44:F107" si="1">(((B44)+(C44))+(D44))+(E44)</f>
        <v>0</v>
      </c>
    </row>
    <row r="45" spans="1:6" x14ac:dyDescent="0.25">
      <c r="A45" s="138" t="s">
        <v>608</v>
      </c>
      <c r="B45" s="139"/>
      <c r="C45" s="139"/>
      <c r="D45" s="139"/>
      <c r="E45" s="139"/>
      <c r="F45" s="140">
        <f t="shared" si="1"/>
        <v>0</v>
      </c>
    </row>
    <row r="46" spans="1:6" x14ac:dyDescent="0.25">
      <c r="A46" s="138" t="s">
        <v>276</v>
      </c>
      <c r="B46" s="139"/>
      <c r="C46" s="139"/>
      <c r="D46" s="139"/>
      <c r="E46" s="139"/>
      <c r="F46" s="140">
        <f t="shared" si="1"/>
        <v>0</v>
      </c>
    </row>
    <row r="47" spans="1:6" x14ac:dyDescent="0.25">
      <c r="A47" s="138" t="s">
        <v>647</v>
      </c>
      <c r="B47" s="139"/>
      <c r="C47" s="139"/>
      <c r="D47" s="139"/>
      <c r="E47" s="139"/>
      <c r="F47" s="140">
        <f t="shared" si="1"/>
        <v>0</v>
      </c>
    </row>
    <row r="48" spans="1:6" x14ac:dyDescent="0.25">
      <c r="A48" s="138" t="s">
        <v>648</v>
      </c>
      <c r="B48" s="140">
        <f>180</f>
        <v>180</v>
      </c>
      <c r="C48" s="139"/>
      <c r="D48" s="139"/>
      <c r="E48" s="139"/>
      <c r="F48" s="140">
        <f t="shared" si="1"/>
        <v>180</v>
      </c>
    </row>
    <row r="49" spans="1:6" x14ac:dyDescent="0.25">
      <c r="A49" s="138" t="s">
        <v>649</v>
      </c>
      <c r="B49" s="141">
        <f>(B47)+(B48)</f>
        <v>180</v>
      </c>
      <c r="C49" s="141">
        <f>(C47)+(C48)</f>
        <v>0</v>
      </c>
      <c r="D49" s="141">
        <f>(D47)+(D48)</f>
        <v>0</v>
      </c>
      <c r="E49" s="141">
        <f>(E47)+(E48)</f>
        <v>0</v>
      </c>
      <c r="F49" s="141">
        <f t="shared" si="1"/>
        <v>180</v>
      </c>
    </row>
    <row r="50" spans="1:6" x14ac:dyDescent="0.25">
      <c r="A50" s="138" t="s">
        <v>569</v>
      </c>
      <c r="B50" s="140">
        <f>1230.45</f>
        <v>1230.45</v>
      </c>
      <c r="C50" s="139"/>
      <c r="D50" s="139"/>
      <c r="E50" s="139"/>
      <c r="F50" s="140">
        <f t="shared" si="1"/>
        <v>1230.45</v>
      </c>
    </row>
    <row r="51" spans="1:6" x14ac:dyDescent="0.25">
      <c r="A51" s="138" t="s">
        <v>277</v>
      </c>
      <c r="B51" s="139"/>
      <c r="C51" s="139"/>
      <c r="D51" s="139"/>
      <c r="E51" s="139"/>
      <c r="F51" s="140">
        <f t="shared" si="1"/>
        <v>0</v>
      </c>
    </row>
    <row r="52" spans="1:6" x14ac:dyDescent="0.25">
      <c r="A52" s="138" t="s">
        <v>278</v>
      </c>
      <c r="B52" s="140">
        <f>8817.32</f>
        <v>8817.32</v>
      </c>
      <c r="C52" s="139"/>
      <c r="D52" s="139"/>
      <c r="E52" s="139"/>
      <c r="F52" s="140">
        <f t="shared" si="1"/>
        <v>8817.32</v>
      </c>
    </row>
    <row r="53" spans="1:6" x14ac:dyDescent="0.25">
      <c r="A53" s="138" t="s">
        <v>579</v>
      </c>
      <c r="B53" s="140">
        <f>904.78</f>
        <v>904.78</v>
      </c>
      <c r="C53" s="139"/>
      <c r="D53" s="139"/>
      <c r="E53" s="139"/>
      <c r="F53" s="140">
        <f t="shared" si="1"/>
        <v>904.78</v>
      </c>
    </row>
    <row r="54" spans="1:6" x14ac:dyDescent="0.25">
      <c r="A54" s="138" t="s">
        <v>607</v>
      </c>
      <c r="B54" s="140">
        <f>75.97</f>
        <v>75.97</v>
      </c>
      <c r="C54" s="139"/>
      <c r="D54" s="139"/>
      <c r="E54" s="139"/>
      <c r="F54" s="140">
        <f t="shared" si="1"/>
        <v>75.97</v>
      </c>
    </row>
    <row r="55" spans="1:6" x14ac:dyDescent="0.25">
      <c r="A55" s="138" t="s">
        <v>609</v>
      </c>
      <c r="B55" s="141">
        <f>(((B51)+(B52))+(B53))+(B54)</f>
        <v>9798.07</v>
      </c>
      <c r="C55" s="141">
        <f>(((C51)+(C52))+(C53))+(C54)</f>
        <v>0</v>
      </c>
      <c r="D55" s="141">
        <f>(((D51)+(D52))+(D53))+(D54)</f>
        <v>0</v>
      </c>
      <c r="E55" s="141">
        <f>(((E51)+(E52))+(E53))+(E54)</f>
        <v>0</v>
      </c>
      <c r="F55" s="141">
        <f t="shared" si="1"/>
        <v>9798.07</v>
      </c>
    </row>
    <row r="56" spans="1:6" x14ac:dyDescent="0.25">
      <c r="A56" s="138" t="s">
        <v>611</v>
      </c>
      <c r="B56" s="141">
        <f>(((B46)+(B49))+(B50))+(B55)</f>
        <v>11208.52</v>
      </c>
      <c r="C56" s="141">
        <f>(((C46)+(C49))+(C50))+(C55)</f>
        <v>0</v>
      </c>
      <c r="D56" s="141">
        <f>(((D46)+(D49))+(D50))+(D55)</f>
        <v>0</v>
      </c>
      <c r="E56" s="141">
        <f>(((E46)+(E49))+(E50))+(E55)</f>
        <v>0</v>
      </c>
      <c r="F56" s="141">
        <f t="shared" si="1"/>
        <v>11208.52</v>
      </c>
    </row>
    <row r="57" spans="1:6" x14ac:dyDescent="0.25">
      <c r="A57" s="138" t="s">
        <v>279</v>
      </c>
      <c r="B57" s="139"/>
      <c r="C57" s="139"/>
      <c r="D57" s="139"/>
      <c r="E57" s="139"/>
      <c r="F57" s="140">
        <f t="shared" si="1"/>
        <v>0</v>
      </c>
    </row>
    <row r="58" spans="1:6" x14ac:dyDescent="0.25">
      <c r="A58" s="138" t="s">
        <v>690</v>
      </c>
      <c r="B58" s="140">
        <f>1853.25</f>
        <v>1853.25</v>
      </c>
      <c r="C58" s="139"/>
      <c r="D58" s="139"/>
      <c r="E58" s="139"/>
      <c r="F58" s="140">
        <f t="shared" si="1"/>
        <v>1853.25</v>
      </c>
    </row>
    <row r="59" spans="1:6" x14ac:dyDescent="0.25">
      <c r="A59" s="138" t="s">
        <v>422</v>
      </c>
      <c r="B59" s="140">
        <f>1022.15</f>
        <v>1022.15</v>
      </c>
      <c r="C59" s="139"/>
      <c r="D59" s="139"/>
      <c r="E59" s="139"/>
      <c r="F59" s="140">
        <f t="shared" si="1"/>
        <v>1022.15</v>
      </c>
    </row>
    <row r="60" spans="1:6" x14ac:dyDescent="0.25">
      <c r="A60" s="138" t="s">
        <v>414</v>
      </c>
      <c r="B60" s="140">
        <f>558.21</f>
        <v>558.21</v>
      </c>
      <c r="C60" s="139"/>
      <c r="D60" s="139"/>
      <c r="E60" s="139"/>
      <c r="F60" s="140">
        <f t="shared" si="1"/>
        <v>558.21</v>
      </c>
    </row>
    <row r="61" spans="1:6" x14ac:dyDescent="0.25">
      <c r="A61" s="138" t="s">
        <v>518</v>
      </c>
      <c r="B61" s="140">
        <f>-63.97</f>
        <v>-63.97</v>
      </c>
      <c r="C61" s="139"/>
      <c r="D61" s="139"/>
      <c r="E61" s="139"/>
      <c r="F61" s="140">
        <f t="shared" si="1"/>
        <v>-63.97</v>
      </c>
    </row>
    <row r="62" spans="1:6" x14ac:dyDescent="0.25">
      <c r="A62" s="138" t="s">
        <v>612</v>
      </c>
      <c r="B62" s="141">
        <f>((((B57)+(B58))+(B59))+(B60))+(B61)</f>
        <v>3369.6400000000003</v>
      </c>
      <c r="C62" s="141">
        <f>((((C57)+(C58))+(C59))+(C60))+(C61)</f>
        <v>0</v>
      </c>
      <c r="D62" s="141">
        <f>((((D57)+(D58))+(D59))+(D60))+(D61)</f>
        <v>0</v>
      </c>
      <c r="E62" s="141">
        <f>((((E57)+(E58))+(E59))+(E60))+(E61)</f>
        <v>0</v>
      </c>
      <c r="F62" s="141">
        <f t="shared" si="1"/>
        <v>3369.6400000000003</v>
      </c>
    </row>
    <row r="63" spans="1:6" x14ac:dyDescent="0.25">
      <c r="A63" s="138" t="s">
        <v>660</v>
      </c>
      <c r="B63" s="139"/>
      <c r="C63" s="139"/>
      <c r="D63" s="139"/>
      <c r="E63" s="139"/>
      <c r="F63" s="140">
        <f t="shared" si="1"/>
        <v>0</v>
      </c>
    </row>
    <row r="64" spans="1:6" x14ac:dyDescent="0.25">
      <c r="A64" s="138" t="s">
        <v>668</v>
      </c>
      <c r="B64" s="140">
        <f>2686.58</f>
        <v>2686.58</v>
      </c>
      <c r="C64" s="139"/>
      <c r="D64" s="139"/>
      <c r="E64" s="139"/>
      <c r="F64" s="140">
        <f t="shared" si="1"/>
        <v>2686.58</v>
      </c>
    </row>
    <row r="65" spans="1:6" x14ac:dyDescent="0.25">
      <c r="A65" s="138" t="s">
        <v>661</v>
      </c>
      <c r="B65" s="141">
        <f>(B63)+(B64)</f>
        <v>2686.58</v>
      </c>
      <c r="C65" s="141">
        <f>(C63)+(C64)</f>
        <v>0</v>
      </c>
      <c r="D65" s="141">
        <f>(D63)+(D64)</f>
        <v>0</v>
      </c>
      <c r="E65" s="141">
        <f>(E63)+(E64)</f>
        <v>0</v>
      </c>
      <c r="F65" s="141">
        <f t="shared" si="1"/>
        <v>2686.58</v>
      </c>
    </row>
    <row r="66" spans="1:6" x14ac:dyDescent="0.25">
      <c r="A66" s="138" t="s">
        <v>613</v>
      </c>
      <c r="B66" s="141">
        <f>(((B45)+(B56))+(B62))+(B65)</f>
        <v>17264.739999999998</v>
      </c>
      <c r="C66" s="141">
        <f>(((C45)+(C56))+(C62))+(C65)</f>
        <v>0</v>
      </c>
      <c r="D66" s="141">
        <f>(((D45)+(D56))+(D62))+(D65)</f>
        <v>0</v>
      </c>
      <c r="E66" s="141">
        <f>(((E45)+(E56))+(E62))+(E65)</f>
        <v>0</v>
      </c>
      <c r="F66" s="141">
        <f t="shared" si="1"/>
        <v>17264.739999999998</v>
      </c>
    </row>
    <row r="67" spans="1:6" x14ac:dyDescent="0.25">
      <c r="A67" s="138" t="s">
        <v>219</v>
      </c>
      <c r="B67" s="139"/>
      <c r="C67" s="139"/>
      <c r="D67" s="139"/>
      <c r="E67" s="139"/>
      <c r="F67" s="140">
        <f t="shared" si="1"/>
        <v>0</v>
      </c>
    </row>
    <row r="68" spans="1:6" x14ac:dyDescent="0.25">
      <c r="A68" s="138" t="s">
        <v>622</v>
      </c>
      <c r="B68" s="140">
        <f>1001.33</f>
        <v>1001.33</v>
      </c>
      <c r="C68" s="139"/>
      <c r="D68" s="139"/>
      <c r="E68" s="139"/>
      <c r="F68" s="140">
        <f t="shared" si="1"/>
        <v>1001.33</v>
      </c>
    </row>
    <row r="69" spans="1:6" x14ac:dyDescent="0.25">
      <c r="A69" s="138" t="s">
        <v>421</v>
      </c>
      <c r="B69" s="140">
        <f>32.35</f>
        <v>32.35</v>
      </c>
      <c r="C69" s="139"/>
      <c r="D69" s="139"/>
      <c r="E69" s="139"/>
      <c r="F69" s="140">
        <f t="shared" si="1"/>
        <v>32.35</v>
      </c>
    </row>
    <row r="70" spans="1:6" x14ac:dyDescent="0.25">
      <c r="A70" s="138" t="s">
        <v>221</v>
      </c>
      <c r="B70" s="140">
        <f>649.21</f>
        <v>649.21</v>
      </c>
      <c r="C70" s="139"/>
      <c r="D70" s="139"/>
      <c r="E70" s="139"/>
      <c r="F70" s="140">
        <f t="shared" si="1"/>
        <v>649.21</v>
      </c>
    </row>
    <row r="71" spans="1:6" x14ac:dyDescent="0.25">
      <c r="A71" s="138" t="s">
        <v>300</v>
      </c>
      <c r="B71" s="140">
        <f>134.19</f>
        <v>134.19</v>
      </c>
      <c r="C71" s="139"/>
      <c r="D71" s="139"/>
      <c r="E71" s="139"/>
      <c r="F71" s="140">
        <f t="shared" si="1"/>
        <v>134.19</v>
      </c>
    </row>
    <row r="72" spans="1:6" x14ac:dyDescent="0.25">
      <c r="A72" s="138" t="s">
        <v>401</v>
      </c>
      <c r="B72" s="139"/>
      <c r="C72" s="139"/>
      <c r="D72" s="139"/>
      <c r="E72" s="139"/>
      <c r="F72" s="140">
        <f t="shared" si="1"/>
        <v>0</v>
      </c>
    </row>
    <row r="73" spans="1:6" x14ac:dyDescent="0.25">
      <c r="A73" s="138" t="s">
        <v>280</v>
      </c>
      <c r="B73" s="140">
        <f>187.79</f>
        <v>187.79</v>
      </c>
      <c r="C73" s="139"/>
      <c r="D73" s="139"/>
      <c r="E73" s="139"/>
      <c r="F73" s="140">
        <f t="shared" si="1"/>
        <v>187.79</v>
      </c>
    </row>
    <row r="74" spans="1:6" x14ac:dyDescent="0.25">
      <c r="A74" s="138" t="s">
        <v>402</v>
      </c>
      <c r="B74" s="141">
        <f>(B72)+(B73)</f>
        <v>187.79</v>
      </c>
      <c r="C74" s="141">
        <f>(C72)+(C73)</f>
        <v>0</v>
      </c>
      <c r="D74" s="141">
        <f>(D72)+(D73)</f>
        <v>0</v>
      </c>
      <c r="E74" s="141">
        <f>(E72)+(E73)</f>
        <v>0</v>
      </c>
      <c r="F74" s="141">
        <f t="shared" si="1"/>
        <v>187.79</v>
      </c>
    </row>
    <row r="75" spans="1:6" x14ac:dyDescent="0.25">
      <c r="A75" s="138" t="s">
        <v>375</v>
      </c>
      <c r="B75" s="140">
        <f>145</f>
        <v>145</v>
      </c>
      <c r="C75" s="139"/>
      <c r="D75" s="139"/>
      <c r="E75" s="139"/>
      <c r="F75" s="140">
        <f t="shared" si="1"/>
        <v>145</v>
      </c>
    </row>
    <row r="76" spans="1:6" x14ac:dyDescent="0.25">
      <c r="A76" s="138" t="s">
        <v>229</v>
      </c>
      <c r="B76" s="141">
        <f>((((((B67)+(B68))+(B69))+(B70))+(B71))+(B74))+(B75)</f>
        <v>2149.87</v>
      </c>
      <c r="C76" s="141">
        <f>((((((C67)+(C68))+(C69))+(C70))+(C71))+(C74))+(C75)</f>
        <v>0</v>
      </c>
      <c r="D76" s="141">
        <f>((((((D67)+(D68))+(D69))+(D70))+(D71))+(D74))+(D75)</f>
        <v>0</v>
      </c>
      <c r="E76" s="141">
        <f>((((((E67)+(E68))+(E69))+(E70))+(E71))+(E74))+(E75)</f>
        <v>0</v>
      </c>
      <c r="F76" s="141">
        <f t="shared" si="1"/>
        <v>2149.87</v>
      </c>
    </row>
    <row r="77" spans="1:6" x14ac:dyDescent="0.25">
      <c r="A77" s="138" t="s">
        <v>230</v>
      </c>
      <c r="B77" s="139"/>
      <c r="C77" s="139"/>
      <c r="D77" s="139"/>
      <c r="E77" s="139"/>
      <c r="F77" s="140">
        <f t="shared" si="1"/>
        <v>0</v>
      </c>
    </row>
    <row r="78" spans="1:6" x14ac:dyDescent="0.25">
      <c r="A78" s="138" t="s">
        <v>231</v>
      </c>
      <c r="B78" s="139"/>
      <c r="C78" s="139"/>
      <c r="D78" s="139"/>
      <c r="E78" s="139"/>
      <c r="F78" s="140">
        <f t="shared" si="1"/>
        <v>0</v>
      </c>
    </row>
    <row r="79" spans="1:6" x14ac:dyDescent="0.25">
      <c r="A79" s="138" t="s">
        <v>322</v>
      </c>
      <c r="B79" s="140">
        <f>254.75</f>
        <v>254.75</v>
      </c>
      <c r="C79" s="139"/>
      <c r="D79" s="139"/>
      <c r="E79" s="139"/>
      <c r="F79" s="140">
        <f t="shared" si="1"/>
        <v>254.75</v>
      </c>
    </row>
    <row r="80" spans="1:6" x14ac:dyDescent="0.25">
      <c r="A80" s="138" t="s">
        <v>232</v>
      </c>
      <c r="B80" s="140">
        <f>5975.82</f>
        <v>5975.82</v>
      </c>
      <c r="C80" s="139"/>
      <c r="D80" s="139"/>
      <c r="E80" s="139"/>
      <c r="F80" s="140">
        <f t="shared" si="1"/>
        <v>5975.82</v>
      </c>
    </row>
    <row r="81" spans="1:6" x14ac:dyDescent="0.25">
      <c r="A81" s="138" t="s">
        <v>233</v>
      </c>
      <c r="B81" s="141">
        <f>((B78)+(B79))+(B80)</f>
        <v>6230.57</v>
      </c>
      <c r="C81" s="141">
        <f>((C78)+(C79))+(C80)</f>
        <v>0</v>
      </c>
      <c r="D81" s="141">
        <f>((D78)+(D79))+(D80)</f>
        <v>0</v>
      </c>
      <c r="E81" s="141">
        <f>((E78)+(E79))+(E80)</f>
        <v>0</v>
      </c>
      <c r="F81" s="141">
        <f t="shared" si="1"/>
        <v>6230.57</v>
      </c>
    </row>
    <row r="82" spans="1:6" x14ac:dyDescent="0.25">
      <c r="A82" s="138" t="s">
        <v>234</v>
      </c>
      <c r="B82" s="139"/>
      <c r="C82" s="139"/>
      <c r="D82" s="139"/>
      <c r="E82" s="139"/>
      <c r="F82" s="140">
        <f t="shared" si="1"/>
        <v>0</v>
      </c>
    </row>
    <row r="83" spans="1:6" x14ac:dyDescent="0.25">
      <c r="A83" s="138" t="s">
        <v>235</v>
      </c>
      <c r="B83" s="140">
        <f>191.08</f>
        <v>191.08</v>
      </c>
      <c r="C83" s="139"/>
      <c r="D83" s="139"/>
      <c r="E83" s="139"/>
      <c r="F83" s="140">
        <f t="shared" si="1"/>
        <v>191.08</v>
      </c>
    </row>
    <row r="84" spans="1:6" x14ac:dyDescent="0.25">
      <c r="A84" s="138" t="s">
        <v>323</v>
      </c>
      <c r="B84" s="140">
        <f>517.59</f>
        <v>517.59</v>
      </c>
      <c r="C84" s="139"/>
      <c r="D84" s="139"/>
      <c r="E84" s="139"/>
      <c r="F84" s="140">
        <f t="shared" si="1"/>
        <v>517.59</v>
      </c>
    </row>
    <row r="85" spans="1:6" x14ac:dyDescent="0.25">
      <c r="A85" s="138" t="s">
        <v>236</v>
      </c>
      <c r="B85" s="141">
        <f>((B82)+(B83))+(B84)</f>
        <v>708.67000000000007</v>
      </c>
      <c r="C85" s="141">
        <f>((C82)+(C83))+(C84)</f>
        <v>0</v>
      </c>
      <c r="D85" s="141">
        <f>((D82)+(D83))+(D84)</f>
        <v>0</v>
      </c>
      <c r="E85" s="141">
        <f>((E82)+(E83))+(E84)</f>
        <v>0</v>
      </c>
      <c r="F85" s="141">
        <f t="shared" si="1"/>
        <v>708.67000000000007</v>
      </c>
    </row>
    <row r="86" spans="1:6" x14ac:dyDescent="0.25">
      <c r="A86" s="138" t="s">
        <v>691</v>
      </c>
      <c r="B86" s="140">
        <f>1124.61</f>
        <v>1124.6099999999999</v>
      </c>
      <c r="C86" s="139"/>
      <c r="D86" s="139"/>
      <c r="E86" s="139"/>
      <c r="F86" s="140">
        <f t="shared" si="1"/>
        <v>1124.6099999999999</v>
      </c>
    </row>
    <row r="87" spans="1:6" x14ac:dyDescent="0.25">
      <c r="A87" s="138" t="s">
        <v>333</v>
      </c>
      <c r="B87" s="139"/>
      <c r="C87" s="139"/>
      <c r="D87" s="139"/>
      <c r="E87" s="139"/>
      <c r="F87" s="140">
        <f t="shared" si="1"/>
        <v>0</v>
      </c>
    </row>
    <row r="88" spans="1:6" x14ac:dyDescent="0.25">
      <c r="A88" s="138" t="s">
        <v>335</v>
      </c>
      <c r="B88" s="140">
        <f>913.5</f>
        <v>913.5</v>
      </c>
      <c r="C88" s="139"/>
      <c r="D88" s="139"/>
      <c r="E88" s="139"/>
      <c r="F88" s="140">
        <f t="shared" si="1"/>
        <v>913.5</v>
      </c>
    </row>
    <row r="89" spans="1:6" x14ac:dyDescent="0.25">
      <c r="A89" s="138" t="s">
        <v>339</v>
      </c>
      <c r="B89" s="140">
        <f>80</f>
        <v>80</v>
      </c>
      <c r="C89" s="139"/>
      <c r="D89" s="139"/>
      <c r="E89" s="139"/>
      <c r="F89" s="140">
        <f t="shared" si="1"/>
        <v>80</v>
      </c>
    </row>
    <row r="90" spans="1:6" x14ac:dyDescent="0.25">
      <c r="A90" s="138" t="s">
        <v>342</v>
      </c>
      <c r="B90" s="141">
        <f>((B87)+(B88))+(B89)</f>
        <v>993.5</v>
      </c>
      <c r="C90" s="141">
        <f>((C87)+(C88))+(C89)</f>
        <v>0</v>
      </c>
      <c r="D90" s="141">
        <f>((D87)+(D88))+(D89)</f>
        <v>0</v>
      </c>
      <c r="E90" s="141">
        <f>((E87)+(E88))+(E89)</f>
        <v>0</v>
      </c>
      <c r="F90" s="141">
        <f t="shared" si="1"/>
        <v>993.5</v>
      </c>
    </row>
    <row r="91" spans="1:6" x14ac:dyDescent="0.25">
      <c r="A91" s="138" t="s">
        <v>237</v>
      </c>
      <c r="B91" s="141">
        <f>((((B77)+(B81))+(B85))+(B86))+(B90)</f>
        <v>9057.3499999999985</v>
      </c>
      <c r="C91" s="141">
        <f>((((C77)+(C81))+(C85))+(C86))+(C90)</f>
        <v>0</v>
      </c>
      <c r="D91" s="141">
        <f>((((D77)+(D81))+(D85))+(D86))+(D90)</f>
        <v>0</v>
      </c>
      <c r="E91" s="141">
        <f>((((E77)+(E81))+(E85))+(E86))+(E90)</f>
        <v>0</v>
      </c>
      <c r="F91" s="141">
        <f t="shared" si="1"/>
        <v>9057.3499999999985</v>
      </c>
    </row>
    <row r="92" spans="1:6" x14ac:dyDescent="0.25">
      <c r="A92" s="138" t="s">
        <v>238</v>
      </c>
      <c r="B92" s="141">
        <f>(((B44)+(B66))+(B76))+(B91)</f>
        <v>28471.959999999995</v>
      </c>
      <c r="C92" s="141">
        <f>(((C44)+(C66))+(C76))+(C91)</f>
        <v>0</v>
      </c>
      <c r="D92" s="141">
        <f>(((D44)+(D66))+(D76))+(D91)</f>
        <v>0</v>
      </c>
      <c r="E92" s="141">
        <f>(((E44)+(E66))+(E76))+(E91)</f>
        <v>0</v>
      </c>
      <c r="F92" s="141">
        <f t="shared" si="1"/>
        <v>28471.959999999995</v>
      </c>
    </row>
    <row r="93" spans="1:6" x14ac:dyDescent="0.25">
      <c r="A93" s="138" t="s">
        <v>239</v>
      </c>
      <c r="B93" s="139"/>
      <c r="C93" s="139"/>
      <c r="D93" s="139"/>
      <c r="E93" s="139"/>
      <c r="F93" s="140">
        <f t="shared" si="1"/>
        <v>0</v>
      </c>
    </row>
    <row r="94" spans="1:6" x14ac:dyDescent="0.25">
      <c r="A94" s="138" t="s">
        <v>240</v>
      </c>
      <c r="B94" s="139"/>
      <c r="C94" s="139"/>
      <c r="D94" s="139"/>
      <c r="E94" s="139"/>
      <c r="F94" s="140">
        <f t="shared" si="1"/>
        <v>0</v>
      </c>
    </row>
    <row r="95" spans="1:6" x14ac:dyDescent="0.25">
      <c r="A95" s="138" t="s">
        <v>241</v>
      </c>
      <c r="B95" s="139"/>
      <c r="C95" s="139"/>
      <c r="D95" s="139"/>
      <c r="E95" s="139"/>
      <c r="F95" s="140">
        <f t="shared" si="1"/>
        <v>0</v>
      </c>
    </row>
    <row r="96" spans="1:6" x14ac:dyDescent="0.25">
      <c r="A96" s="138" t="s">
        <v>389</v>
      </c>
      <c r="B96" s="139"/>
      <c r="C96" s="139"/>
      <c r="D96" s="139"/>
      <c r="E96" s="139"/>
      <c r="F96" s="140">
        <f t="shared" si="1"/>
        <v>0</v>
      </c>
    </row>
    <row r="97" spans="1:6" x14ac:dyDescent="0.25">
      <c r="A97" s="138" t="s">
        <v>400</v>
      </c>
      <c r="B97" s="139"/>
      <c r="C97" s="139"/>
      <c r="D97" s="139"/>
      <c r="E97" s="140">
        <f>4212.97</f>
        <v>4212.97</v>
      </c>
      <c r="F97" s="140">
        <f t="shared" si="1"/>
        <v>4212.97</v>
      </c>
    </row>
    <row r="98" spans="1:6" x14ac:dyDescent="0.25">
      <c r="A98" s="138" t="s">
        <v>500</v>
      </c>
      <c r="B98" s="139"/>
      <c r="C98" s="139"/>
      <c r="D98" s="139"/>
      <c r="E98" s="140">
        <f>2137.02</f>
        <v>2137.02</v>
      </c>
      <c r="F98" s="140">
        <f t="shared" si="1"/>
        <v>2137.02</v>
      </c>
    </row>
    <row r="99" spans="1:6" x14ac:dyDescent="0.25">
      <c r="A99" s="138" t="s">
        <v>396</v>
      </c>
      <c r="B99" s="139"/>
      <c r="C99" s="139"/>
      <c r="D99" s="139"/>
      <c r="E99" s="140">
        <f>485.77</f>
        <v>485.77</v>
      </c>
      <c r="F99" s="140">
        <f t="shared" si="1"/>
        <v>485.77</v>
      </c>
    </row>
    <row r="100" spans="1:6" x14ac:dyDescent="0.25">
      <c r="A100" s="138" t="s">
        <v>581</v>
      </c>
      <c r="B100" s="139"/>
      <c r="C100" s="139"/>
      <c r="D100" s="139"/>
      <c r="E100" s="140">
        <f>-113.45</f>
        <v>-113.45</v>
      </c>
      <c r="F100" s="140">
        <f t="shared" si="1"/>
        <v>-113.45</v>
      </c>
    </row>
    <row r="101" spans="1:6" x14ac:dyDescent="0.25">
      <c r="A101" s="138" t="s">
        <v>391</v>
      </c>
      <c r="B101" s="139"/>
      <c r="C101" s="139"/>
      <c r="D101" s="139"/>
      <c r="E101" s="140">
        <f>2852.56</f>
        <v>2852.56</v>
      </c>
      <c r="F101" s="140">
        <f t="shared" si="1"/>
        <v>2852.56</v>
      </c>
    </row>
    <row r="102" spans="1:6" x14ac:dyDescent="0.25">
      <c r="A102" s="138" t="s">
        <v>591</v>
      </c>
      <c r="B102" s="139"/>
      <c r="C102" s="139"/>
      <c r="D102" s="139"/>
      <c r="E102" s="140">
        <f>984.9</f>
        <v>984.9</v>
      </c>
      <c r="F102" s="140">
        <f t="shared" si="1"/>
        <v>984.9</v>
      </c>
    </row>
    <row r="103" spans="1:6" x14ac:dyDescent="0.25">
      <c r="A103" s="138" t="s">
        <v>592</v>
      </c>
      <c r="B103" s="139"/>
      <c r="C103" s="139"/>
      <c r="D103" s="139"/>
      <c r="E103" s="140">
        <f>33.36</f>
        <v>33.36</v>
      </c>
      <c r="F103" s="140">
        <f t="shared" si="1"/>
        <v>33.36</v>
      </c>
    </row>
    <row r="104" spans="1:6" x14ac:dyDescent="0.25">
      <c r="A104" s="138" t="s">
        <v>390</v>
      </c>
      <c r="B104" s="141">
        <f>(((((((B96)+(B97))+(B98))+(B99))+(B100))+(B101))+(B102))+(B103)</f>
        <v>0</v>
      </c>
      <c r="C104" s="141">
        <f>(((((((C96)+(C97))+(C98))+(C99))+(C100))+(C101))+(C102))+(C103)</f>
        <v>0</v>
      </c>
      <c r="D104" s="141">
        <f>(((((((D96)+(D97))+(D98))+(D99))+(D100))+(D101))+(D102))+(D103)</f>
        <v>0</v>
      </c>
      <c r="E104" s="141">
        <f>(((((((E96)+(E97))+(E98))+(E99))+(E100))+(E101))+(E102))+(E103)</f>
        <v>10593.130000000001</v>
      </c>
      <c r="F104" s="141">
        <f t="shared" si="1"/>
        <v>10593.130000000001</v>
      </c>
    </row>
    <row r="105" spans="1:6" x14ac:dyDescent="0.25">
      <c r="A105" s="138" t="s">
        <v>242</v>
      </c>
      <c r="B105" s="141">
        <f>(B95)+(B104)</f>
        <v>0</v>
      </c>
      <c r="C105" s="141">
        <f>(C95)+(C104)</f>
        <v>0</v>
      </c>
      <c r="D105" s="141">
        <f>(D95)+(D104)</f>
        <v>0</v>
      </c>
      <c r="E105" s="141">
        <f>(E95)+(E104)</f>
        <v>10593.130000000001</v>
      </c>
      <c r="F105" s="141">
        <f t="shared" si="1"/>
        <v>10593.130000000001</v>
      </c>
    </row>
    <row r="106" spans="1:6" x14ac:dyDescent="0.25">
      <c r="A106" s="138" t="s">
        <v>243</v>
      </c>
      <c r="B106" s="139"/>
      <c r="C106" s="139"/>
      <c r="D106" s="139"/>
      <c r="E106" s="139"/>
      <c r="F106" s="140">
        <f t="shared" si="1"/>
        <v>0</v>
      </c>
    </row>
    <row r="107" spans="1:6" x14ac:dyDescent="0.25">
      <c r="A107" s="138" t="s">
        <v>244</v>
      </c>
      <c r="B107" s="139"/>
      <c r="C107" s="139"/>
      <c r="D107" s="139"/>
      <c r="E107" s="140">
        <f>1652.36</f>
        <v>1652.36</v>
      </c>
      <c r="F107" s="140">
        <f t="shared" si="1"/>
        <v>1652.36</v>
      </c>
    </row>
    <row r="108" spans="1:6" x14ac:dyDescent="0.25">
      <c r="A108" s="138" t="s">
        <v>420</v>
      </c>
      <c r="B108" s="139"/>
      <c r="C108" s="139"/>
      <c r="D108" s="139"/>
      <c r="E108" s="140">
        <f>171.67</f>
        <v>171.67</v>
      </c>
      <c r="F108" s="140">
        <f t="shared" ref="F108:F148" si="2">(((B108)+(C108))+(D108))+(E108)</f>
        <v>171.67</v>
      </c>
    </row>
    <row r="109" spans="1:6" x14ac:dyDescent="0.25">
      <c r="A109" s="138" t="s">
        <v>245</v>
      </c>
      <c r="B109" s="141">
        <f>((B106)+(B107))+(B108)</f>
        <v>0</v>
      </c>
      <c r="C109" s="141">
        <f>((C106)+(C107))+(C108)</f>
        <v>0</v>
      </c>
      <c r="D109" s="141">
        <f>((D106)+(D107))+(D108)</f>
        <v>0</v>
      </c>
      <c r="E109" s="141">
        <f>((E106)+(E107))+(E108)</f>
        <v>1824.03</v>
      </c>
      <c r="F109" s="141">
        <f t="shared" si="2"/>
        <v>1824.03</v>
      </c>
    </row>
    <row r="110" spans="1:6" x14ac:dyDescent="0.25">
      <c r="A110" s="138" t="s">
        <v>443</v>
      </c>
      <c r="B110" s="139"/>
      <c r="C110" s="139"/>
      <c r="D110" s="139"/>
      <c r="E110" s="139"/>
      <c r="F110" s="140">
        <f t="shared" si="2"/>
        <v>0</v>
      </c>
    </row>
    <row r="111" spans="1:6" x14ac:dyDescent="0.25">
      <c r="A111" s="138" t="s">
        <v>468</v>
      </c>
      <c r="B111" s="139"/>
      <c r="C111" s="139"/>
      <c r="D111" s="139"/>
      <c r="E111" s="140">
        <f>590.51</f>
        <v>590.51</v>
      </c>
      <c r="F111" s="140">
        <f t="shared" si="2"/>
        <v>590.51</v>
      </c>
    </row>
    <row r="112" spans="1:6" x14ac:dyDescent="0.25">
      <c r="A112" s="138" t="s">
        <v>499</v>
      </c>
      <c r="B112" s="139"/>
      <c r="C112" s="139"/>
      <c r="D112" s="139"/>
      <c r="E112" s="140">
        <f>456.44</f>
        <v>456.44</v>
      </c>
      <c r="F112" s="140">
        <f t="shared" si="2"/>
        <v>456.44</v>
      </c>
    </row>
    <row r="113" spans="1:6" x14ac:dyDescent="0.25">
      <c r="A113" s="138" t="s">
        <v>450</v>
      </c>
      <c r="B113" s="141">
        <f>((B110)+(B111))+(B112)</f>
        <v>0</v>
      </c>
      <c r="C113" s="141">
        <f>((C110)+(C111))+(C112)</f>
        <v>0</v>
      </c>
      <c r="D113" s="141">
        <f>((D110)+(D111))+(D112)</f>
        <v>0</v>
      </c>
      <c r="E113" s="141">
        <f>((E110)+(E111))+(E112)</f>
        <v>1046.95</v>
      </c>
      <c r="F113" s="141">
        <f t="shared" si="2"/>
        <v>1046.95</v>
      </c>
    </row>
    <row r="114" spans="1:6" x14ac:dyDescent="0.25">
      <c r="A114" s="138" t="s">
        <v>247</v>
      </c>
      <c r="B114" s="139"/>
      <c r="C114" s="139"/>
      <c r="D114" s="139"/>
      <c r="E114" s="139"/>
      <c r="F114" s="140">
        <f t="shared" si="2"/>
        <v>0</v>
      </c>
    </row>
    <row r="115" spans="1:6" x14ac:dyDescent="0.25">
      <c r="A115" s="138" t="s">
        <v>248</v>
      </c>
      <c r="B115" s="139"/>
      <c r="C115" s="139"/>
      <c r="D115" s="139"/>
      <c r="E115" s="140">
        <f>-17.65</f>
        <v>-17.649999999999999</v>
      </c>
      <c r="F115" s="140">
        <f t="shared" si="2"/>
        <v>-17.649999999999999</v>
      </c>
    </row>
    <row r="116" spans="1:6" x14ac:dyDescent="0.25">
      <c r="A116" s="138" t="s">
        <v>249</v>
      </c>
      <c r="B116" s="141">
        <f>(B114)+(B115)</f>
        <v>0</v>
      </c>
      <c r="C116" s="141">
        <f>(C114)+(C115)</f>
        <v>0</v>
      </c>
      <c r="D116" s="141">
        <f>(D114)+(D115)</f>
        <v>0</v>
      </c>
      <c r="E116" s="141">
        <f>(E114)+(E115)</f>
        <v>-17.649999999999999</v>
      </c>
      <c r="F116" s="141">
        <f t="shared" si="2"/>
        <v>-17.649999999999999</v>
      </c>
    </row>
    <row r="117" spans="1:6" x14ac:dyDescent="0.25">
      <c r="A117" s="138" t="s">
        <v>250</v>
      </c>
      <c r="B117" s="141">
        <f>((((B94)+(B105))+(B109))+(B113))+(B116)</f>
        <v>0</v>
      </c>
      <c r="C117" s="141">
        <f>((((C94)+(C105))+(C109))+(C113))+(C116)</f>
        <v>0</v>
      </c>
      <c r="D117" s="141">
        <f>((((D94)+(D105))+(D109))+(D113))+(D116)</f>
        <v>0</v>
      </c>
      <c r="E117" s="141">
        <f>((((E94)+(E105))+(E109))+(E113))+(E116)</f>
        <v>13446.460000000003</v>
      </c>
      <c r="F117" s="141">
        <f t="shared" si="2"/>
        <v>13446.460000000003</v>
      </c>
    </row>
    <row r="118" spans="1:6" x14ac:dyDescent="0.25">
      <c r="A118" s="138" t="s">
        <v>346</v>
      </c>
      <c r="B118" s="139"/>
      <c r="C118" s="139"/>
      <c r="D118" s="139"/>
      <c r="E118" s="139"/>
      <c r="F118" s="140">
        <f t="shared" si="2"/>
        <v>0</v>
      </c>
    </row>
    <row r="119" spans="1:6" x14ac:dyDescent="0.25">
      <c r="A119" s="138" t="s">
        <v>394</v>
      </c>
      <c r="B119" s="139"/>
      <c r="C119" s="139"/>
      <c r="D119" s="139"/>
      <c r="E119" s="140">
        <f>2966.68</f>
        <v>2966.68</v>
      </c>
      <c r="F119" s="140">
        <f t="shared" si="2"/>
        <v>2966.68</v>
      </c>
    </row>
    <row r="120" spans="1:6" x14ac:dyDescent="0.25">
      <c r="A120" s="138" t="s">
        <v>350</v>
      </c>
      <c r="B120" s="139"/>
      <c r="C120" s="139"/>
      <c r="D120" s="140">
        <f>15000</f>
        <v>15000</v>
      </c>
      <c r="E120" s="139"/>
      <c r="F120" s="140">
        <f t="shared" si="2"/>
        <v>15000</v>
      </c>
    </row>
    <row r="121" spans="1:6" x14ac:dyDescent="0.25">
      <c r="A121" s="138" t="s">
        <v>351</v>
      </c>
      <c r="B121" s="139"/>
      <c r="C121" s="139"/>
      <c r="D121" s="139"/>
      <c r="E121" s="139"/>
      <c r="F121" s="140">
        <f t="shared" si="2"/>
        <v>0</v>
      </c>
    </row>
    <row r="122" spans="1:6" x14ac:dyDescent="0.25">
      <c r="A122" s="138" t="s">
        <v>371</v>
      </c>
      <c r="B122" s="139"/>
      <c r="C122" s="139"/>
      <c r="D122" s="139"/>
      <c r="E122" s="140">
        <f>100</f>
        <v>100</v>
      </c>
      <c r="F122" s="140">
        <f t="shared" si="2"/>
        <v>100</v>
      </c>
    </row>
    <row r="123" spans="1:6" x14ac:dyDescent="0.25">
      <c r="A123" s="138" t="s">
        <v>352</v>
      </c>
      <c r="B123" s="141">
        <f>(B121)+(B122)</f>
        <v>0</v>
      </c>
      <c r="C123" s="141">
        <f>(C121)+(C122)</f>
        <v>0</v>
      </c>
      <c r="D123" s="141">
        <f>(D121)+(D122)</f>
        <v>0</v>
      </c>
      <c r="E123" s="141">
        <f>(E121)+(E122)</f>
        <v>100</v>
      </c>
      <c r="F123" s="141">
        <f t="shared" si="2"/>
        <v>100</v>
      </c>
    </row>
    <row r="124" spans="1:6" x14ac:dyDescent="0.25">
      <c r="A124" s="138" t="s">
        <v>353</v>
      </c>
      <c r="B124" s="141">
        <f>(((B118)+(B119))+(B120))+(B123)</f>
        <v>0</v>
      </c>
      <c r="C124" s="141">
        <f>(((C118)+(C119))+(C120))+(C123)</f>
        <v>0</v>
      </c>
      <c r="D124" s="141">
        <f>(((D118)+(D119))+(D120))+(D123)</f>
        <v>15000</v>
      </c>
      <c r="E124" s="141">
        <f>(((E118)+(E119))+(E120))+(E123)</f>
        <v>3066.68</v>
      </c>
      <c r="F124" s="141">
        <f t="shared" si="2"/>
        <v>18066.68</v>
      </c>
    </row>
    <row r="125" spans="1:6" x14ac:dyDescent="0.25">
      <c r="A125" s="138" t="s">
        <v>251</v>
      </c>
      <c r="B125" s="139"/>
      <c r="C125" s="139"/>
      <c r="D125" s="139"/>
      <c r="E125" s="139"/>
      <c r="F125" s="140">
        <f t="shared" si="2"/>
        <v>0</v>
      </c>
    </row>
    <row r="126" spans="1:6" x14ac:dyDescent="0.25">
      <c r="A126" s="138" t="s">
        <v>252</v>
      </c>
      <c r="B126" s="139"/>
      <c r="C126" s="139"/>
      <c r="D126" s="139"/>
      <c r="E126" s="139"/>
      <c r="F126" s="140">
        <f t="shared" si="2"/>
        <v>0</v>
      </c>
    </row>
    <row r="127" spans="1:6" x14ac:dyDescent="0.25">
      <c r="A127" s="138" t="s">
        <v>255</v>
      </c>
      <c r="B127" s="139"/>
      <c r="C127" s="139"/>
      <c r="D127" s="139"/>
      <c r="E127" s="140">
        <f>148.9</f>
        <v>148.9</v>
      </c>
      <c r="F127" s="140">
        <f t="shared" si="2"/>
        <v>148.9</v>
      </c>
    </row>
    <row r="128" spans="1:6" x14ac:dyDescent="0.25">
      <c r="A128" s="138" t="s">
        <v>256</v>
      </c>
      <c r="B128" s="139"/>
      <c r="C128" s="139"/>
      <c r="D128" s="139"/>
      <c r="E128" s="140">
        <f>100</f>
        <v>100</v>
      </c>
      <c r="F128" s="140">
        <f t="shared" si="2"/>
        <v>100</v>
      </c>
    </row>
    <row r="129" spans="1:6" x14ac:dyDescent="0.25">
      <c r="A129" s="138" t="s">
        <v>259</v>
      </c>
      <c r="B129" s="139"/>
      <c r="C129" s="139"/>
      <c r="D129" s="139"/>
      <c r="E129" s="140">
        <f>1133.17</f>
        <v>1133.17</v>
      </c>
      <c r="F129" s="140">
        <f t="shared" si="2"/>
        <v>1133.17</v>
      </c>
    </row>
    <row r="130" spans="1:6" x14ac:dyDescent="0.25">
      <c r="A130" s="138" t="s">
        <v>261</v>
      </c>
      <c r="B130" s="139"/>
      <c r="C130" s="139"/>
      <c r="D130" s="139"/>
      <c r="E130" s="140">
        <f>200</f>
        <v>200</v>
      </c>
      <c r="F130" s="140">
        <f t="shared" si="2"/>
        <v>200</v>
      </c>
    </row>
    <row r="131" spans="1:6" x14ac:dyDescent="0.25">
      <c r="A131" s="138" t="s">
        <v>451</v>
      </c>
      <c r="B131" s="139"/>
      <c r="C131" s="139"/>
      <c r="D131" s="139"/>
      <c r="E131" s="140">
        <f>225</f>
        <v>225</v>
      </c>
      <c r="F131" s="140">
        <f t="shared" si="2"/>
        <v>225</v>
      </c>
    </row>
    <row r="132" spans="1:6" x14ac:dyDescent="0.25">
      <c r="A132" s="138" t="s">
        <v>448</v>
      </c>
      <c r="B132" s="139"/>
      <c r="C132" s="139"/>
      <c r="D132" s="139"/>
      <c r="E132" s="140">
        <f>350</f>
        <v>350</v>
      </c>
      <c r="F132" s="140">
        <f t="shared" si="2"/>
        <v>350</v>
      </c>
    </row>
    <row r="133" spans="1:6" x14ac:dyDescent="0.25">
      <c r="A133" s="138" t="s">
        <v>263</v>
      </c>
      <c r="B133" s="141">
        <f>((((((B126)+(B127))+(B128))+(B129))+(B130))+(B131))+(B132)</f>
        <v>0</v>
      </c>
      <c r="C133" s="141">
        <f>((((((C126)+(C127))+(C128))+(C129))+(C130))+(C131))+(C132)</f>
        <v>0</v>
      </c>
      <c r="D133" s="141">
        <f>((((((D126)+(D127))+(D128))+(D129))+(D130))+(D131))+(D132)</f>
        <v>0</v>
      </c>
      <c r="E133" s="141">
        <f>((((((E126)+(E127))+(E128))+(E129))+(E130))+(E131))+(E132)</f>
        <v>2157.0700000000002</v>
      </c>
      <c r="F133" s="141">
        <f t="shared" si="2"/>
        <v>2157.0700000000002</v>
      </c>
    </row>
    <row r="134" spans="1:6" x14ac:dyDescent="0.25">
      <c r="A134" s="138" t="s">
        <v>264</v>
      </c>
      <c r="B134" s="139"/>
      <c r="C134" s="139"/>
      <c r="D134" s="139"/>
      <c r="E134" s="139"/>
      <c r="F134" s="140">
        <f t="shared" si="2"/>
        <v>0</v>
      </c>
    </row>
    <row r="135" spans="1:6" x14ac:dyDescent="0.25">
      <c r="A135" s="138" t="s">
        <v>265</v>
      </c>
      <c r="B135" s="139"/>
      <c r="C135" s="139"/>
      <c r="D135" s="139"/>
      <c r="E135" s="140">
        <f>2609.68</f>
        <v>2609.6799999999998</v>
      </c>
      <c r="F135" s="140">
        <f t="shared" si="2"/>
        <v>2609.6799999999998</v>
      </c>
    </row>
    <row r="136" spans="1:6" x14ac:dyDescent="0.25">
      <c r="A136" s="138" t="s">
        <v>354</v>
      </c>
      <c r="B136" s="139"/>
      <c r="C136" s="139"/>
      <c r="D136" s="139"/>
      <c r="E136" s="140">
        <f>13661.94</f>
        <v>13661.94</v>
      </c>
      <c r="F136" s="140">
        <f t="shared" si="2"/>
        <v>13661.94</v>
      </c>
    </row>
    <row r="137" spans="1:6" x14ac:dyDescent="0.25">
      <c r="A137" s="138" t="s">
        <v>355</v>
      </c>
      <c r="B137" s="139"/>
      <c r="C137" s="139"/>
      <c r="D137" s="139"/>
      <c r="E137" s="140">
        <f>5956.58</f>
        <v>5956.58</v>
      </c>
      <c r="F137" s="140">
        <f t="shared" si="2"/>
        <v>5956.58</v>
      </c>
    </row>
    <row r="138" spans="1:6" x14ac:dyDescent="0.25">
      <c r="A138" s="138" t="s">
        <v>373</v>
      </c>
      <c r="B138" s="139"/>
      <c r="C138" s="139"/>
      <c r="D138" s="139"/>
      <c r="E138" s="140">
        <f>2500</f>
        <v>2500</v>
      </c>
      <c r="F138" s="140">
        <f t="shared" si="2"/>
        <v>2500</v>
      </c>
    </row>
    <row r="139" spans="1:6" x14ac:dyDescent="0.25">
      <c r="A139" s="138" t="s">
        <v>266</v>
      </c>
      <c r="B139" s="139"/>
      <c r="C139" s="139"/>
      <c r="D139" s="139"/>
      <c r="E139" s="140">
        <f>400</f>
        <v>400</v>
      </c>
      <c r="F139" s="140">
        <f t="shared" si="2"/>
        <v>400</v>
      </c>
    </row>
    <row r="140" spans="1:6" x14ac:dyDescent="0.25">
      <c r="A140" s="138" t="s">
        <v>281</v>
      </c>
      <c r="B140" s="139"/>
      <c r="C140" s="139"/>
      <c r="D140" s="139"/>
      <c r="E140" s="139"/>
      <c r="F140" s="140">
        <f t="shared" si="2"/>
        <v>0</v>
      </c>
    </row>
    <row r="141" spans="1:6" x14ac:dyDescent="0.25">
      <c r="A141" s="138" t="s">
        <v>282</v>
      </c>
      <c r="B141" s="139"/>
      <c r="C141" s="139"/>
      <c r="D141" s="139"/>
      <c r="E141" s="140">
        <f>563.44</f>
        <v>563.44000000000005</v>
      </c>
      <c r="F141" s="140">
        <f t="shared" si="2"/>
        <v>563.44000000000005</v>
      </c>
    </row>
    <row r="142" spans="1:6" x14ac:dyDescent="0.25">
      <c r="A142" s="138" t="s">
        <v>380</v>
      </c>
      <c r="B142" s="139"/>
      <c r="C142" s="139"/>
      <c r="D142" s="139"/>
      <c r="E142" s="140">
        <f>830</f>
        <v>830</v>
      </c>
      <c r="F142" s="140">
        <f t="shared" si="2"/>
        <v>830</v>
      </c>
    </row>
    <row r="143" spans="1:6" x14ac:dyDescent="0.25">
      <c r="A143" s="138" t="s">
        <v>397</v>
      </c>
      <c r="B143" s="141">
        <f>((B140)+(B141))+(B142)</f>
        <v>0</v>
      </c>
      <c r="C143" s="141">
        <f>((C140)+(C141))+(C142)</f>
        <v>0</v>
      </c>
      <c r="D143" s="141">
        <f>((D140)+(D141))+(D142)</f>
        <v>0</v>
      </c>
      <c r="E143" s="141">
        <f>((E140)+(E141))+(E142)</f>
        <v>1393.44</v>
      </c>
      <c r="F143" s="141">
        <f t="shared" si="2"/>
        <v>1393.44</v>
      </c>
    </row>
    <row r="144" spans="1:6" x14ac:dyDescent="0.25">
      <c r="A144" s="138" t="s">
        <v>267</v>
      </c>
      <c r="B144" s="141">
        <f>((((((B134)+(B135))+(B136))+(B137))+(B138))+(B139))+(B143)</f>
        <v>0</v>
      </c>
      <c r="C144" s="141">
        <f>((((((C134)+(C135))+(C136))+(C137))+(C138))+(C139))+(C143)</f>
        <v>0</v>
      </c>
      <c r="D144" s="141">
        <f>((((((D134)+(D135))+(D136))+(D137))+(D138))+(D139))+(D143)</f>
        <v>0</v>
      </c>
      <c r="E144" s="141">
        <f>((((((E134)+(E135))+(E136))+(E137))+(E138))+(E139))+(E143)</f>
        <v>26521.64</v>
      </c>
      <c r="F144" s="141">
        <f t="shared" si="2"/>
        <v>26521.64</v>
      </c>
    </row>
    <row r="145" spans="1:6" x14ac:dyDescent="0.25">
      <c r="A145" s="138" t="s">
        <v>268</v>
      </c>
      <c r="B145" s="141">
        <f>((B125)+(B133))+(B144)</f>
        <v>0</v>
      </c>
      <c r="C145" s="141">
        <f>((C125)+(C133))+(C144)</f>
        <v>0</v>
      </c>
      <c r="D145" s="141">
        <f>((D125)+(D133))+(D144)</f>
        <v>0</v>
      </c>
      <c r="E145" s="141">
        <f>((E125)+(E133))+(E144)</f>
        <v>28678.71</v>
      </c>
      <c r="F145" s="141">
        <f t="shared" si="2"/>
        <v>28678.71</v>
      </c>
    </row>
    <row r="146" spans="1:6" x14ac:dyDescent="0.25">
      <c r="A146" s="138" t="s">
        <v>269</v>
      </c>
      <c r="B146" s="141">
        <f>(((B93)+(B117))+(B124))+(B145)</f>
        <v>0</v>
      </c>
      <c r="C146" s="141">
        <f>(((C93)+(C117))+(C124))+(C145)</f>
        <v>0</v>
      </c>
      <c r="D146" s="141">
        <f>(((D93)+(D117))+(D124))+(D145)</f>
        <v>15000</v>
      </c>
      <c r="E146" s="141">
        <f>(((E93)+(E117))+(E124))+(E145)</f>
        <v>45191.850000000006</v>
      </c>
      <c r="F146" s="141">
        <f t="shared" si="2"/>
        <v>60191.850000000006</v>
      </c>
    </row>
    <row r="147" spans="1:6" x14ac:dyDescent="0.25">
      <c r="A147" s="138" t="s">
        <v>270</v>
      </c>
      <c r="B147" s="141">
        <f>(B92)+(B146)</f>
        <v>28471.959999999995</v>
      </c>
      <c r="C147" s="141">
        <f>(C92)+(C146)</f>
        <v>0</v>
      </c>
      <c r="D147" s="141">
        <f>(D92)+(D146)</f>
        <v>15000</v>
      </c>
      <c r="E147" s="141">
        <f>(E92)+(E146)</f>
        <v>45191.850000000006</v>
      </c>
      <c r="F147" s="141">
        <f t="shared" si="2"/>
        <v>88663.81</v>
      </c>
    </row>
    <row r="148" spans="1:6" x14ac:dyDescent="0.25">
      <c r="A148" s="138" t="s">
        <v>271</v>
      </c>
      <c r="B148" s="141">
        <f>(B42)-(B147)</f>
        <v>-527.61999999999534</v>
      </c>
      <c r="C148" s="141">
        <f>(C42)-(C147)</f>
        <v>0</v>
      </c>
      <c r="D148" s="141">
        <f>(D42)-(D147)</f>
        <v>-3342.5699999999924</v>
      </c>
      <c r="E148" s="141">
        <f>(E42)-(E147)</f>
        <v>-26569.690000000024</v>
      </c>
      <c r="F148" s="141">
        <f t="shared" si="2"/>
        <v>-30439.880000000012</v>
      </c>
    </row>
    <row r="149" spans="1:6" x14ac:dyDescent="0.25">
      <c r="A149" s="138" t="s">
        <v>8</v>
      </c>
      <c r="B149" s="139"/>
      <c r="C149" s="139"/>
      <c r="D149" s="139"/>
      <c r="E149" s="139"/>
      <c r="F149" s="139"/>
    </row>
    <row r="150" spans="1:6" x14ac:dyDescent="0.25">
      <c r="A150" s="138" t="s">
        <v>272</v>
      </c>
      <c r="B150" s="139"/>
      <c r="C150" s="139"/>
      <c r="D150" s="139"/>
      <c r="E150" s="139"/>
      <c r="F150" s="140">
        <f t="shared" ref="F150:F159" si="3">(((B150)+(C150))+(D150))+(E150)</f>
        <v>0</v>
      </c>
    </row>
    <row r="151" spans="1:6" x14ac:dyDescent="0.25">
      <c r="A151" s="138" t="s">
        <v>703</v>
      </c>
      <c r="B151" s="139"/>
      <c r="C151" s="139"/>
      <c r="D151" s="139"/>
      <c r="E151" s="139"/>
      <c r="F151" s="140">
        <f t="shared" si="3"/>
        <v>0</v>
      </c>
    </row>
    <row r="152" spans="1:6" x14ac:dyDescent="0.25">
      <c r="A152" s="138" t="s">
        <v>704</v>
      </c>
      <c r="B152" s="139"/>
      <c r="C152" s="140">
        <f>24646.77</f>
        <v>24646.77</v>
      </c>
      <c r="D152" s="139"/>
      <c r="E152" s="139"/>
      <c r="F152" s="140">
        <f t="shared" si="3"/>
        <v>24646.77</v>
      </c>
    </row>
    <row r="153" spans="1:6" x14ac:dyDescent="0.25">
      <c r="A153" s="138" t="s">
        <v>705</v>
      </c>
      <c r="B153" s="141">
        <f>(B151)+(B152)</f>
        <v>0</v>
      </c>
      <c r="C153" s="141">
        <f>(C151)+(C152)</f>
        <v>24646.77</v>
      </c>
      <c r="D153" s="141">
        <f>(D151)+(D152)</f>
        <v>0</v>
      </c>
      <c r="E153" s="141">
        <f>(E151)+(E152)</f>
        <v>0</v>
      </c>
      <c r="F153" s="141">
        <f t="shared" si="3"/>
        <v>24646.77</v>
      </c>
    </row>
    <row r="154" spans="1:6" x14ac:dyDescent="0.25">
      <c r="A154" s="138" t="s">
        <v>597</v>
      </c>
      <c r="B154" s="139"/>
      <c r="C154" s="139"/>
      <c r="D154" s="139"/>
      <c r="E154" s="139"/>
      <c r="F154" s="140">
        <f t="shared" si="3"/>
        <v>0</v>
      </c>
    </row>
    <row r="155" spans="1:6" x14ac:dyDescent="0.25">
      <c r="A155" s="138" t="s">
        <v>598</v>
      </c>
      <c r="B155" s="139"/>
      <c r="C155" s="140">
        <f>383.38</f>
        <v>383.38</v>
      </c>
      <c r="D155" s="139"/>
      <c r="E155" s="139"/>
      <c r="F155" s="140">
        <f t="shared" si="3"/>
        <v>383.38</v>
      </c>
    </row>
    <row r="156" spans="1:6" x14ac:dyDescent="0.25">
      <c r="A156" s="138" t="s">
        <v>599</v>
      </c>
      <c r="B156" s="141">
        <f>(B154)+(B155)</f>
        <v>0</v>
      </c>
      <c r="C156" s="141">
        <f>(C154)+(C155)</f>
        <v>383.38</v>
      </c>
      <c r="D156" s="141">
        <f>(D154)+(D155)</f>
        <v>0</v>
      </c>
      <c r="E156" s="141">
        <f>(E154)+(E155)</f>
        <v>0</v>
      </c>
      <c r="F156" s="141">
        <f t="shared" si="3"/>
        <v>383.38</v>
      </c>
    </row>
    <row r="157" spans="1:6" x14ac:dyDescent="0.25">
      <c r="A157" s="138" t="s">
        <v>273</v>
      </c>
      <c r="B157" s="139"/>
      <c r="C157" s="140">
        <f>3231.84</f>
        <v>3231.84</v>
      </c>
      <c r="D157" s="139"/>
      <c r="E157" s="139"/>
      <c r="F157" s="140">
        <f t="shared" si="3"/>
        <v>3231.84</v>
      </c>
    </row>
    <row r="158" spans="1:6" x14ac:dyDescent="0.25">
      <c r="A158" s="138" t="s">
        <v>274</v>
      </c>
      <c r="B158" s="141">
        <f>(((B150)+(B153))+(B156))+(B157)</f>
        <v>0</v>
      </c>
      <c r="C158" s="141">
        <f>(((C150)+(C153))+(C156))+(C157)</f>
        <v>28261.99</v>
      </c>
      <c r="D158" s="141">
        <f>(((D150)+(D153))+(D156))+(D157)</f>
        <v>0</v>
      </c>
      <c r="E158" s="141">
        <f>(((E150)+(E153))+(E156))+(E157)</f>
        <v>0</v>
      </c>
      <c r="F158" s="141">
        <f t="shared" si="3"/>
        <v>28261.99</v>
      </c>
    </row>
    <row r="159" spans="1:6" x14ac:dyDescent="0.25">
      <c r="A159" s="138" t="s">
        <v>9</v>
      </c>
      <c r="B159" s="141">
        <f>B158</f>
        <v>0</v>
      </c>
      <c r="C159" s="141">
        <f>C158</f>
        <v>28261.99</v>
      </c>
      <c r="D159" s="141">
        <f>D158</f>
        <v>0</v>
      </c>
      <c r="E159" s="141">
        <f>E158</f>
        <v>0</v>
      </c>
      <c r="F159" s="141">
        <f t="shared" si="3"/>
        <v>28261.99</v>
      </c>
    </row>
    <row r="160" spans="1:6" x14ac:dyDescent="0.25">
      <c r="A160" s="138" t="s">
        <v>583</v>
      </c>
      <c r="B160" s="139"/>
      <c r="C160" s="139"/>
      <c r="D160" s="139"/>
      <c r="E160" s="139"/>
      <c r="F160" s="139"/>
    </row>
    <row r="161" spans="1:6" x14ac:dyDescent="0.25">
      <c r="A161" s="138" t="s">
        <v>584</v>
      </c>
      <c r="B161" s="139"/>
      <c r="C161" s="139"/>
      <c r="D161" s="139"/>
      <c r="E161" s="139"/>
      <c r="F161" s="140">
        <f t="shared" ref="F161:F167" si="4">(((B161)+(C161))+(D161))+(E161)</f>
        <v>0</v>
      </c>
    </row>
    <row r="162" spans="1:6" x14ac:dyDescent="0.25">
      <c r="A162" s="138" t="s">
        <v>684</v>
      </c>
      <c r="B162" s="139"/>
      <c r="C162" s="140">
        <f>1342.15</f>
        <v>1342.15</v>
      </c>
      <c r="D162" s="139"/>
      <c r="E162" s="139"/>
      <c r="F162" s="140">
        <f t="shared" si="4"/>
        <v>1342.15</v>
      </c>
    </row>
    <row r="163" spans="1:6" x14ac:dyDescent="0.25">
      <c r="A163" s="138" t="s">
        <v>692</v>
      </c>
      <c r="B163" s="139"/>
      <c r="C163" s="140">
        <f>80</f>
        <v>80</v>
      </c>
      <c r="D163" s="139"/>
      <c r="E163" s="139"/>
      <c r="F163" s="140">
        <f t="shared" si="4"/>
        <v>80</v>
      </c>
    </row>
    <row r="164" spans="1:6" x14ac:dyDescent="0.25">
      <c r="A164" s="138" t="s">
        <v>585</v>
      </c>
      <c r="B164" s="141">
        <f>((B161)+(B162))+(B163)</f>
        <v>0</v>
      </c>
      <c r="C164" s="141">
        <f>((C161)+(C162))+(C163)</f>
        <v>1422.15</v>
      </c>
      <c r="D164" s="141">
        <f>((D161)+(D162))+(D163)</f>
        <v>0</v>
      </c>
      <c r="E164" s="141">
        <f>((E161)+(E162))+(E163)</f>
        <v>0</v>
      </c>
      <c r="F164" s="141">
        <f t="shared" si="4"/>
        <v>1422.15</v>
      </c>
    </row>
    <row r="165" spans="1:6" x14ac:dyDescent="0.25">
      <c r="A165" s="138" t="s">
        <v>586</v>
      </c>
      <c r="B165" s="141">
        <f>B164</f>
        <v>0</v>
      </c>
      <c r="C165" s="141">
        <f>C164</f>
        <v>1422.15</v>
      </c>
      <c r="D165" s="141">
        <f>D164</f>
        <v>0</v>
      </c>
      <c r="E165" s="141">
        <f>E164</f>
        <v>0</v>
      </c>
      <c r="F165" s="141">
        <f t="shared" si="4"/>
        <v>1422.15</v>
      </c>
    </row>
    <row r="166" spans="1:6" x14ac:dyDescent="0.25">
      <c r="A166" s="138" t="s">
        <v>10</v>
      </c>
      <c r="B166" s="141">
        <f>(B159)-(B165)</f>
        <v>0</v>
      </c>
      <c r="C166" s="141">
        <f>(C159)-(C165)</f>
        <v>26839.84</v>
      </c>
      <c r="D166" s="141">
        <f>(D159)-(D165)</f>
        <v>0</v>
      </c>
      <c r="E166" s="141">
        <f>(E159)-(E165)</f>
        <v>0</v>
      </c>
      <c r="F166" s="141">
        <f t="shared" si="4"/>
        <v>26839.84</v>
      </c>
    </row>
    <row r="167" spans="1:6" x14ac:dyDescent="0.25">
      <c r="A167" s="138" t="s">
        <v>3</v>
      </c>
      <c r="B167" s="141">
        <f>(B148)+(B166)</f>
        <v>-527.61999999999534</v>
      </c>
      <c r="C167" s="141">
        <f>(C148)+(C166)</f>
        <v>26839.84</v>
      </c>
      <c r="D167" s="141">
        <f>(D148)+(D166)</f>
        <v>-3342.5699999999924</v>
      </c>
      <c r="E167" s="141">
        <f>(E148)+(E166)</f>
        <v>-26569.690000000024</v>
      </c>
      <c r="F167" s="141">
        <f t="shared" si="4"/>
        <v>-3600.0400000000118</v>
      </c>
    </row>
    <row r="168" spans="1:6" x14ac:dyDescent="0.25">
      <c r="A168" s="138"/>
      <c r="B168" s="139"/>
      <c r="C168" s="139"/>
      <c r="D168" s="139"/>
      <c r="E168" s="139"/>
      <c r="F168" s="139"/>
    </row>
    <row r="171" spans="1:6" x14ac:dyDescent="0.25">
      <c r="A171" s="273" t="s">
        <v>720</v>
      </c>
      <c r="B171" s="269"/>
      <c r="C171" s="269"/>
      <c r="D171" s="269"/>
      <c r="E171" s="269"/>
      <c r="F171" s="269"/>
    </row>
  </sheetData>
  <mergeCells count="4">
    <mergeCell ref="A1:F1"/>
    <mergeCell ref="A2:F2"/>
    <mergeCell ref="A3:F3"/>
    <mergeCell ref="A171:F17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113"/>
  <sheetViews>
    <sheetView topLeftCell="C1" workbookViewId="0">
      <pane xSplit="1" ySplit="3" topLeftCell="D4" activePane="bottomRight" state="frozen"/>
      <selection activeCell="C1" sqref="C1"/>
      <selection pane="topRight" activeCell="D1" sqref="D1"/>
      <selection pane="bottomLeft" activeCell="C4" sqref="C4"/>
      <selection pane="bottomRight" activeCell="C1" sqref="C1"/>
    </sheetView>
  </sheetViews>
  <sheetFormatPr defaultColWidth="11.85546875" defaultRowHeight="11.25" x14ac:dyDescent="0.2"/>
  <cols>
    <col min="1" max="1" width="11.85546875" style="34" customWidth="1"/>
    <col min="2" max="2" width="11.140625" style="34" customWidth="1"/>
    <col min="3" max="3" width="32.28515625" style="34" customWidth="1"/>
    <col min="4" max="6" width="11.85546875" style="23" hidden="1" customWidth="1"/>
    <col min="7" max="8" width="9.7109375" style="23" hidden="1" customWidth="1"/>
    <col min="9" max="9" width="11.85546875" style="23" hidden="1" customWidth="1"/>
    <col min="10" max="10" width="2.7109375" style="23" hidden="1" customWidth="1"/>
    <col min="11" max="11" width="10" style="23" hidden="1" customWidth="1"/>
    <col min="12" max="12" width="9.7109375" style="23" hidden="1" customWidth="1"/>
    <col min="13" max="13" width="8.42578125" style="23" hidden="1" customWidth="1"/>
    <col min="14" max="14" width="11.85546875" style="23" hidden="1" customWidth="1"/>
    <col min="15" max="15" width="4.7109375" style="23" hidden="1" customWidth="1"/>
    <col min="16" max="16" width="17.7109375" style="23" customWidth="1"/>
    <col min="17" max="18" width="14.42578125" style="23" customWidth="1"/>
    <col min="19" max="16384" width="11.85546875" style="23"/>
  </cols>
  <sheetData>
    <row r="1" spans="1:255" x14ac:dyDescent="0.2">
      <c r="C1" s="35" t="s">
        <v>63</v>
      </c>
    </row>
    <row r="2" spans="1:255" x14ac:dyDescent="0.2">
      <c r="A2" s="27"/>
      <c r="B2" s="27"/>
      <c r="C2" s="35" t="s">
        <v>64</v>
      </c>
      <c r="D2" s="36" t="s">
        <v>11</v>
      </c>
      <c r="E2" s="27"/>
      <c r="F2" s="276"/>
      <c r="G2" s="277"/>
      <c r="H2" s="277"/>
      <c r="I2" s="37"/>
      <c r="J2" s="27"/>
      <c r="K2" s="276" t="s">
        <v>65</v>
      </c>
      <c r="L2" s="277"/>
      <c r="M2" s="278"/>
      <c r="N2" s="279"/>
      <c r="O2" s="37"/>
      <c r="P2" s="36" t="s">
        <v>11</v>
      </c>
      <c r="Q2" s="37"/>
      <c r="R2" s="37"/>
    </row>
    <row r="3" spans="1:255" ht="56.25" x14ac:dyDescent="0.2">
      <c r="A3" s="38" t="s">
        <v>66</v>
      </c>
      <c r="B3" s="38" t="s">
        <v>67</v>
      </c>
      <c r="C3" s="39">
        <v>2024</v>
      </c>
      <c r="D3" s="72" t="s">
        <v>685</v>
      </c>
      <c r="E3" s="40"/>
      <c r="H3" s="21" t="s">
        <v>469</v>
      </c>
      <c r="I3" s="21" t="s">
        <v>470</v>
      </c>
      <c r="J3" s="40"/>
      <c r="K3" s="21"/>
      <c r="L3" s="52" t="s">
        <v>471</v>
      </c>
      <c r="M3" s="41"/>
      <c r="N3" s="42" t="s">
        <v>68</v>
      </c>
      <c r="O3" s="43"/>
      <c r="P3" s="44" t="s">
        <v>719</v>
      </c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</row>
    <row r="4" spans="1:255" x14ac:dyDescent="0.2">
      <c r="A4" s="23"/>
      <c r="B4" s="23"/>
      <c r="C4" s="16"/>
      <c r="D4" s="4"/>
      <c r="E4" s="4"/>
      <c r="F4" s="14"/>
      <c r="G4" s="14"/>
      <c r="H4" s="14"/>
      <c r="I4" s="14"/>
      <c r="J4" s="4"/>
      <c r="K4" s="14"/>
      <c r="L4" s="14"/>
      <c r="M4" s="14"/>
      <c r="N4" s="14"/>
      <c r="O4" s="14"/>
      <c r="P4" s="14"/>
      <c r="Q4" s="14"/>
      <c r="R4" s="14"/>
    </row>
    <row r="5" spans="1:255" x14ac:dyDescent="0.2">
      <c r="A5" s="29"/>
      <c r="B5" s="29"/>
      <c r="C5" s="30" t="s">
        <v>69</v>
      </c>
      <c r="D5" s="31"/>
      <c r="E5" s="31"/>
      <c r="F5" s="15"/>
      <c r="G5" s="15"/>
      <c r="H5" s="15"/>
      <c r="I5" s="15"/>
      <c r="J5" s="31"/>
      <c r="K5" s="15"/>
      <c r="L5" s="15"/>
      <c r="M5" s="15"/>
      <c r="N5" s="15"/>
      <c r="O5" s="15"/>
      <c r="P5" s="15"/>
      <c r="Q5" s="15"/>
      <c r="R5" s="15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</row>
    <row r="6" spans="1:255" x14ac:dyDescent="0.2">
      <c r="A6" s="16"/>
      <c r="B6" s="16"/>
      <c r="C6" s="16"/>
      <c r="D6" s="4"/>
      <c r="E6" s="4"/>
      <c r="F6" s="14"/>
      <c r="G6" s="14"/>
      <c r="H6" s="14"/>
      <c r="I6" s="14"/>
      <c r="J6" s="4"/>
      <c r="K6" s="14"/>
      <c r="L6" s="14"/>
      <c r="M6" s="14"/>
      <c r="N6" s="14"/>
      <c r="O6" s="14"/>
      <c r="P6" s="14"/>
      <c r="Q6" s="14"/>
      <c r="R6" s="14"/>
    </row>
    <row r="7" spans="1:255" x14ac:dyDescent="0.2">
      <c r="A7" s="16"/>
      <c r="B7" s="16"/>
      <c r="C7" s="16"/>
      <c r="D7" s="4"/>
      <c r="E7" s="4"/>
      <c r="F7" s="14"/>
      <c r="G7" s="14"/>
      <c r="H7" s="14"/>
      <c r="I7" s="14"/>
      <c r="J7" s="4"/>
      <c r="K7" s="14"/>
      <c r="M7" s="14"/>
      <c r="N7" s="14"/>
      <c r="O7" s="14"/>
      <c r="P7" s="17"/>
      <c r="Q7" s="14"/>
      <c r="R7" s="14"/>
    </row>
    <row r="8" spans="1:255" x14ac:dyDescent="0.2">
      <c r="B8" s="16" t="s">
        <v>429</v>
      </c>
      <c r="C8" s="16" t="s">
        <v>381</v>
      </c>
      <c r="D8" s="4">
        <v>11760.93</v>
      </c>
      <c r="E8" s="4">
        <f>D8</f>
        <v>11760.93</v>
      </c>
      <c r="F8" s="14"/>
      <c r="G8" s="14"/>
      <c r="H8" s="14"/>
      <c r="I8" s="14"/>
      <c r="J8" s="4"/>
      <c r="K8" s="14"/>
      <c r="L8" s="14"/>
      <c r="M8" s="14"/>
      <c r="N8" s="14"/>
      <c r="O8" s="14"/>
      <c r="P8" s="17">
        <f>D8+H8-L8</f>
        <v>11760.93</v>
      </c>
      <c r="Q8" s="14" t="s">
        <v>570</v>
      </c>
      <c r="R8" s="14"/>
    </row>
    <row r="9" spans="1:255" x14ac:dyDescent="0.2">
      <c r="B9" s="16"/>
      <c r="C9" s="16"/>
      <c r="D9" s="4"/>
      <c r="E9" s="4"/>
      <c r="F9" s="14"/>
      <c r="G9" s="14"/>
      <c r="H9" s="14"/>
      <c r="I9" s="14"/>
      <c r="J9" s="4"/>
      <c r="K9" s="14"/>
      <c r="L9" s="14"/>
      <c r="M9" s="14"/>
      <c r="N9" s="14"/>
      <c r="O9" s="14"/>
      <c r="P9" s="17"/>
      <c r="Q9" s="14"/>
      <c r="R9" s="14"/>
    </row>
    <row r="10" spans="1:255" x14ac:dyDescent="0.2">
      <c r="A10" s="16" t="s">
        <v>544</v>
      </c>
      <c r="B10" s="16" t="s">
        <v>430</v>
      </c>
      <c r="C10" s="16" t="s">
        <v>392</v>
      </c>
      <c r="D10" s="4">
        <v>0</v>
      </c>
      <c r="E10" s="4"/>
      <c r="F10" s="14"/>
      <c r="G10" s="14"/>
      <c r="H10" s="14"/>
      <c r="I10" s="14"/>
      <c r="J10" s="4"/>
      <c r="K10" s="14"/>
      <c r="L10" s="14"/>
      <c r="M10" s="14"/>
      <c r="N10" s="14"/>
      <c r="O10" s="14"/>
      <c r="P10" s="17"/>
      <c r="Q10" s="14"/>
      <c r="R10" s="14"/>
    </row>
    <row r="11" spans="1:255" x14ac:dyDescent="0.2">
      <c r="A11" s="16" t="s">
        <v>544</v>
      </c>
      <c r="B11" s="22"/>
      <c r="C11" s="16" t="s">
        <v>545</v>
      </c>
      <c r="D11" s="4"/>
      <c r="E11" s="4"/>
      <c r="F11" s="14"/>
      <c r="G11" s="14"/>
      <c r="H11" s="14"/>
      <c r="I11" s="14"/>
      <c r="J11" s="4"/>
      <c r="K11" s="14"/>
      <c r="M11" s="14"/>
      <c r="N11" s="14"/>
      <c r="O11" s="14"/>
      <c r="P11" s="17"/>
      <c r="Q11" s="14"/>
      <c r="R11" s="14"/>
    </row>
    <row r="12" spans="1:255" x14ac:dyDescent="0.2">
      <c r="A12" s="16"/>
      <c r="B12" s="22"/>
      <c r="C12" s="16" t="s">
        <v>392</v>
      </c>
      <c r="D12" s="4">
        <v>2737.36</v>
      </c>
      <c r="E12" s="4"/>
      <c r="F12" s="14"/>
      <c r="G12" s="14"/>
      <c r="H12" s="14"/>
      <c r="I12" s="14"/>
      <c r="J12" s="4"/>
      <c r="K12" s="14"/>
      <c r="M12" s="14"/>
      <c r="N12" s="14"/>
      <c r="O12" s="14"/>
      <c r="P12" s="17"/>
      <c r="Q12" s="14"/>
      <c r="R12" s="14"/>
    </row>
    <row r="13" spans="1:255" x14ac:dyDescent="0.2">
      <c r="A13" s="16" t="s">
        <v>534</v>
      </c>
      <c r="B13" s="22"/>
      <c r="C13" s="93" t="s">
        <v>535</v>
      </c>
      <c r="D13" s="94"/>
      <c r="E13" s="94"/>
      <c r="F13" s="24"/>
      <c r="G13" s="24"/>
      <c r="H13" s="24"/>
      <c r="I13" s="95"/>
      <c r="J13" s="94"/>
      <c r="K13" s="24"/>
      <c r="L13" s="24"/>
      <c r="M13" s="24"/>
      <c r="N13" s="24"/>
      <c r="O13" s="24"/>
      <c r="P13" s="96"/>
      <c r="Q13" s="14"/>
      <c r="R13" s="14"/>
    </row>
    <row r="14" spans="1:255" x14ac:dyDescent="0.2">
      <c r="A14" s="16"/>
      <c r="B14" s="16"/>
      <c r="C14" s="16" t="s">
        <v>550</v>
      </c>
      <c r="D14" s="85"/>
      <c r="E14" s="4">
        <f>SUM(D12)</f>
        <v>2737.36</v>
      </c>
      <c r="F14" s="14"/>
      <c r="G14" s="14"/>
      <c r="H14" s="14"/>
      <c r="I14" s="14"/>
      <c r="J14" s="4"/>
      <c r="K14" s="14"/>
      <c r="L14" s="14"/>
      <c r="M14" s="14"/>
      <c r="N14" s="14"/>
      <c r="O14" s="14"/>
      <c r="P14" s="17">
        <f>SUM(E14-L14)</f>
        <v>2737.36</v>
      </c>
      <c r="Q14" s="14"/>
      <c r="R14" s="14"/>
    </row>
    <row r="15" spans="1:255" x14ac:dyDescent="0.2">
      <c r="A15" s="16"/>
      <c r="B15" s="16"/>
      <c r="C15" s="16"/>
      <c r="D15" s="4"/>
      <c r="E15" s="4"/>
      <c r="F15" s="14"/>
      <c r="G15" s="14"/>
      <c r="H15" s="14"/>
      <c r="I15" s="14"/>
      <c r="J15" s="4"/>
      <c r="K15" s="14"/>
      <c r="L15" s="14"/>
      <c r="M15" s="14"/>
      <c r="N15" s="14"/>
      <c r="O15" s="14"/>
      <c r="P15" s="17"/>
      <c r="Q15" s="14"/>
      <c r="R15" s="14"/>
    </row>
    <row r="16" spans="1:255" x14ac:dyDescent="0.2">
      <c r="A16" s="16"/>
      <c r="B16" s="16"/>
      <c r="C16" s="16"/>
      <c r="D16" s="4"/>
      <c r="E16" s="4"/>
      <c r="F16" s="14"/>
      <c r="G16" s="14"/>
      <c r="H16" s="14"/>
      <c r="I16" s="14"/>
      <c r="J16" s="4"/>
      <c r="K16" s="14"/>
      <c r="L16" s="14"/>
      <c r="M16" s="14"/>
      <c r="N16" s="14"/>
      <c r="O16" s="14"/>
      <c r="P16" s="17"/>
      <c r="Q16" s="14"/>
      <c r="R16" s="14"/>
    </row>
    <row r="18" spans="1:255" x14ac:dyDescent="0.2">
      <c r="A18" s="16"/>
      <c r="B18" s="16"/>
      <c r="C18" s="16"/>
      <c r="D18" s="4"/>
      <c r="E18" s="4"/>
      <c r="F18" s="14"/>
      <c r="G18" s="14"/>
      <c r="H18" s="14"/>
      <c r="I18" s="14"/>
      <c r="J18" s="4"/>
      <c r="K18" s="14"/>
      <c r="L18" s="14"/>
      <c r="M18" s="14"/>
      <c r="N18" s="14"/>
      <c r="O18" s="14"/>
      <c r="P18" s="17"/>
      <c r="Q18" s="14"/>
      <c r="R18" s="14"/>
    </row>
    <row r="19" spans="1:255" x14ac:dyDescent="0.2">
      <c r="C19" s="34" t="s">
        <v>718</v>
      </c>
      <c r="H19" s="23">
        <v>24646.77</v>
      </c>
      <c r="M19" s="14"/>
      <c r="P19" s="23">
        <f>SUM(H19:O19)</f>
        <v>24646.77</v>
      </c>
    </row>
    <row r="20" spans="1:255" x14ac:dyDescent="0.2">
      <c r="A20" s="16"/>
      <c r="B20" s="16"/>
      <c r="C20" s="16" t="s">
        <v>481</v>
      </c>
      <c r="D20" s="4">
        <v>2000</v>
      </c>
      <c r="E20" s="4"/>
      <c r="F20" s="14"/>
      <c r="G20" s="14"/>
      <c r="H20" s="14"/>
      <c r="I20" s="14"/>
      <c r="J20" s="4"/>
      <c r="K20" s="14"/>
      <c r="L20" s="14"/>
      <c r="M20" s="14"/>
      <c r="N20" s="14"/>
      <c r="O20" s="14"/>
      <c r="P20" s="17">
        <f>D20+H20-L20</f>
        <v>2000</v>
      </c>
      <c r="Q20" s="14"/>
      <c r="R20" s="14" t="s">
        <v>570</v>
      </c>
    </row>
    <row r="21" spans="1:255" ht="12" thickBot="1" x14ac:dyDescent="0.25">
      <c r="A21" s="16" t="s">
        <v>87</v>
      </c>
      <c r="B21" s="34" t="s">
        <v>88</v>
      </c>
      <c r="C21" s="19" t="s">
        <v>70</v>
      </c>
      <c r="D21" s="25">
        <v>948.08</v>
      </c>
      <c r="E21" s="25"/>
      <c r="F21" s="20"/>
      <c r="G21" s="20"/>
      <c r="H21" s="20"/>
      <c r="I21" s="20"/>
      <c r="J21" s="25"/>
      <c r="K21" s="20"/>
      <c r="L21" s="20"/>
      <c r="M21" s="20"/>
      <c r="N21" s="20"/>
      <c r="O21" s="20"/>
      <c r="P21" s="58">
        <f>D21+I21-L21</f>
        <v>948.08</v>
      </c>
      <c r="Q21" s="20"/>
      <c r="R21" s="14" t="s">
        <v>570</v>
      </c>
    </row>
    <row r="22" spans="1:255" x14ac:dyDescent="0.2">
      <c r="A22" s="23"/>
      <c r="B22" s="23"/>
      <c r="C22" s="26" t="s">
        <v>383</v>
      </c>
      <c r="D22" s="4"/>
      <c r="E22" s="4">
        <f>SUM(D20:D21)</f>
        <v>2948.08</v>
      </c>
      <c r="F22" s="14"/>
      <c r="G22" s="14"/>
      <c r="H22" s="14"/>
      <c r="I22" s="14"/>
      <c r="J22" s="4"/>
      <c r="K22" s="14"/>
      <c r="L22" s="14"/>
      <c r="M22" s="21"/>
      <c r="N22" s="14"/>
      <c r="O22" s="14"/>
      <c r="P22" s="14"/>
      <c r="Q22" s="14">
        <f>SUM(P8:P21)</f>
        <v>42093.14</v>
      </c>
      <c r="R22" s="14"/>
      <c r="S22" s="48"/>
      <c r="T22" s="45"/>
    </row>
    <row r="23" spans="1:255" ht="12" thickBot="1" x14ac:dyDescent="0.25">
      <c r="A23" s="23"/>
      <c r="B23" s="23"/>
      <c r="C23" s="16"/>
      <c r="D23" s="4"/>
      <c r="E23" s="4"/>
      <c r="F23" s="14"/>
      <c r="G23" s="14"/>
      <c r="H23" s="14"/>
      <c r="I23" s="14"/>
      <c r="J23" s="4"/>
      <c r="K23" s="14"/>
      <c r="L23" s="14"/>
      <c r="M23" s="14"/>
      <c r="N23" s="14"/>
      <c r="O23" s="14"/>
      <c r="P23" s="14"/>
      <c r="Q23" s="14"/>
      <c r="R23" s="14"/>
    </row>
    <row r="24" spans="1:255" ht="12" thickBot="1" x14ac:dyDescent="0.25">
      <c r="A24" s="29"/>
      <c r="B24" s="29"/>
      <c r="C24" s="97" t="s">
        <v>413</v>
      </c>
      <c r="D24" s="31"/>
      <c r="E24" s="31"/>
      <c r="F24" s="15"/>
      <c r="G24" s="15"/>
      <c r="H24" s="15"/>
      <c r="I24" s="15"/>
      <c r="J24" s="31"/>
      <c r="K24" s="15"/>
      <c r="L24" s="15"/>
      <c r="M24" s="15"/>
      <c r="N24" s="15"/>
      <c r="O24" s="15"/>
      <c r="P24" s="15"/>
      <c r="Q24" s="15"/>
      <c r="R24" s="15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</row>
    <row r="25" spans="1:255" ht="12" thickBot="1" x14ac:dyDescent="0.25">
      <c r="A25" s="16"/>
      <c r="B25" s="22"/>
      <c r="C25" s="18"/>
      <c r="D25" s="4"/>
      <c r="E25" s="4"/>
      <c r="F25" s="14"/>
      <c r="G25" s="14"/>
      <c r="H25" s="14"/>
      <c r="I25" s="14"/>
      <c r="J25" s="4"/>
      <c r="K25" s="14"/>
      <c r="L25" s="14"/>
      <c r="N25" s="14"/>
      <c r="O25" s="14"/>
      <c r="P25" s="17"/>
      <c r="Q25" s="14"/>
      <c r="R25" s="14"/>
    </row>
    <row r="26" spans="1:255" x14ac:dyDescent="0.2">
      <c r="A26" s="16"/>
      <c r="B26" s="22"/>
      <c r="C26" s="18" t="s">
        <v>587</v>
      </c>
      <c r="D26" s="4">
        <v>224</v>
      </c>
      <c r="E26" s="4"/>
      <c r="F26" s="14"/>
      <c r="G26" s="14"/>
      <c r="H26" s="14">
        <v>383.38</v>
      </c>
      <c r="I26" s="14"/>
      <c r="J26" s="4"/>
      <c r="K26" s="14"/>
      <c r="L26" s="14"/>
      <c r="N26" s="14"/>
      <c r="O26" s="14"/>
      <c r="P26" s="101">
        <f>D26+H26-L26</f>
        <v>607.38</v>
      </c>
      <c r="Q26" s="102"/>
      <c r="R26" s="14"/>
    </row>
    <row r="27" spans="1:255" x14ac:dyDescent="0.2">
      <c r="A27" s="16"/>
      <c r="B27" s="22"/>
      <c r="C27" s="16" t="s">
        <v>423</v>
      </c>
      <c r="D27" s="4">
        <v>0</v>
      </c>
      <c r="E27" s="4"/>
      <c r="F27" s="14"/>
      <c r="G27" s="14"/>
      <c r="H27" s="14"/>
      <c r="I27" s="46"/>
      <c r="J27" s="4"/>
      <c r="K27" s="14"/>
      <c r="M27" s="14"/>
      <c r="N27" s="14"/>
      <c r="O27" s="14"/>
      <c r="P27" s="103"/>
      <c r="Q27" s="63"/>
      <c r="R27" s="14"/>
    </row>
    <row r="28" spans="1:255" x14ac:dyDescent="0.2">
      <c r="A28" s="16"/>
      <c r="B28" s="22"/>
      <c r="C28" s="16"/>
      <c r="D28" s="4"/>
      <c r="E28" s="4"/>
      <c r="F28" s="14"/>
      <c r="G28" s="14"/>
      <c r="H28" s="14"/>
      <c r="I28" s="14"/>
      <c r="J28" s="4"/>
      <c r="K28" s="14"/>
      <c r="L28" s="14"/>
      <c r="M28" s="14"/>
      <c r="N28" s="14"/>
      <c r="O28" s="14"/>
      <c r="P28" s="103"/>
      <c r="Q28" s="63"/>
      <c r="R28" s="14"/>
    </row>
    <row r="29" spans="1:255" ht="11.45" customHeight="1" x14ac:dyDescent="0.2">
      <c r="A29" s="16" t="s">
        <v>503</v>
      </c>
      <c r="B29" s="22" t="s">
        <v>504</v>
      </c>
      <c r="C29" s="16" t="s">
        <v>490</v>
      </c>
      <c r="D29" s="4">
        <v>1806.32</v>
      </c>
      <c r="E29" s="4"/>
      <c r="F29" s="14"/>
      <c r="G29" s="14"/>
      <c r="H29" s="14"/>
      <c r="I29" s="14"/>
      <c r="J29" s="4"/>
      <c r="K29" s="14"/>
      <c r="L29" s="14"/>
      <c r="M29" s="14"/>
      <c r="N29" s="14"/>
      <c r="O29" s="14"/>
      <c r="P29" s="103">
        <f>D29+H29-L29</f>
        <v>1806.32</v>
      </c>
      <c r="Q29" s="63"/>
      <c r="R29" s="14"/>
    </row>
    <row r="30" spans="1:255" ht="11.45" customHeight="1" x14ac:dyDescent="0.2">
      <c r="A30" s="16"/>
      <c r="B30" s="22"/>
      <c r="C30" s="16"/>
      <c r="D30" s="4"/>
      <c r="E30" s="4"/>
      <c r="F30" s="14"/>
      <c r="G30" s="14"/>
      <c r="H30" s="14"/>
      <c r="I30" s="14"/>
      <c r="J30" s="4"/>
      <c r="K30" s="14"/>
      <c r="L30" s="14"/>
      <c r="M30" s="14"/>
      <c r="N30" s="14"/>
      <c r="O30" s="14"/>
      <c r="P30" s="103"/>
      <c r="Q30" s="63"/>
      <c r="R30" s="14"/>
    </row>
    <row r="31" spans="1:255" x14ac:dyDescent="0.2">
      <c r="C31" s="34" t="s">
        <v>596</v>
      </c>
      <c r="D31" s="14">
        <v>65400</v>
      </c>
      <c r="E31" s="14"/>
      <c r="F31" s="14"/>
      <c r="H31" s="14"/>
      <c r="I31" s="14"/>
      <c r="M31" s="14"/>
      <c r="P31" s="103">
        <f>D31+H31-L31</f>
        <v>65400</v>
      </c>
      <c r="Q31" s="67"/>
    </row>
    <row r="32" spans="1:255" x14ac:dyDescent="0.2">
      <c r="C32" s="34" t="s">
        <v>392</v>
      </c>
      <c r="D32" s="14">
        <v>5000</v>
      </c>
      <c r="E32" s="14"/>
      <c r="F32" s="14"/>
      <c r="H32" s="14"/>
      <c r="I32" s="14"/>
      <c r="M32" s="14"/>
      <c r="P32" s="103">
        <f>D32+H32-L32</f>
        <v>5000</v>
      </c>
      <c r="Q32" s="67"/>
    </row>
    <row r="33" spans="1:21" x14ac:dyDescent="0.2">
      <c r="H33" s="14"/>
      <c r="I33" s="14"/>
      <c r="M33" s="14"/>
      <c r="P33" s="68"/>
      <c r="Q33" s="67"/>
    </row>
    <row r="34" spans="1:21" x14ac:dyDescent="0.2">
      <c r="A34" s="16" t="s">
        <v>512</v>
      </c>
      <c r="B34" s="22" t="s">
        <v>513</v>
      </c>
      <c r="C34" s="16" t="s">
        <v>514</v>
      </c>
      <c r="D34" s="4">
        <v>1086.0899999999999</v>
      </c>
      <c r="E34" s="4"/>
      <c r="F34" s="14"/>
      <c r="G34" s="14"/>
      <c r="I34" s="14"/>
      <c r="J34" s="4"/>
      <c r="K34" s="14"/>
      <c r="L34" s="14"/>
      <c r="M34" s="14"/>
      <c r="N34" s="14"/>
      <c r="O34" s="14"/>
      <c r="P34" s="103">
        <f>D34+F34-L34</f>
        <v>1086.0899999999999</v>
      </c>
      <c r="Q34" s="63"/>
      <c r="R34" s="14"/>
    </row>
    <row r="35" spans="1:21" x14ac:dyDescent="0.2">
      <c r="A35" s="16" t="s">
        <v>511</v>
      </c>
      <c r="B35" s="22" t="s">
        <v>506</v>
      </c>
      <c r="C35" s="16" t="s">
        <v>501</v>
      </c>
      <c r="D35" s="4"/>
      <c r="E35" s="4"/>
      <c r="F35" s="14"/>
      <c r="G35" s="14"/>
      <c r="H35" s="14"/>
      <c r="I35" s="14"/>
      <c r="J35" s="4"/>
      <c r="K35" s="14"/>
      <c r="L35" s="14"/>
      <c r="M35" s="14"/>
      <c r="N35" s="46"/>
      <c r="O35" s="14"/>
      <c r="P35" s="103">
        <f>D35+H35+I35-L35+N35</f>
        <v>0</v>
      </c>
      <c r="Q35" s="63"/>
      <c r="R35" s="14"/>
    </row>
    <row r="36" spans="1:21" x14ac:dyDescent="0.2">
      <c r="A36" s="16" t="s">
        <v>81</v>
      </c>
      <c r="B36" s="16" t="s">
        <v>505</v>
      </c>
      <c r="C36" s="16" t="s">
        <v>103</v>
      </c>
      <c r="D36" s="24">
        <v>180.43</v>
      </c>
      <c r="E36" s="24"/>
      <c r="F36" s="14"/>
      <c r="G36" s="14"/>
      <c r="H36" s="14"/>
      <c r="J36" s="14"/>
      <c r="K36" s="14"/>
      <c r="L36" s="14"/>
      <c r="N36" s="14"/>
      <c r="O36" s="14"/>
      <c r="P36" s="103">
        <f>D36+H36-L36</f>
        <v>180.43</v>
      </c>
      <c r="Q36" s="63"/>
      <c r="R36" s="14"/>
    </row>
    <row r="37" spans="1:21" ht="12" thickBot="1" x14ac:dyDescent="0.25">
      <c r="A37" s="16"/>
      <c r="B37" s="22"/>
      <c r="C37" s="16"/>
      <c r="D37" s="4"/>
      <c r="E37" s="4">
        <f>SUM(D26:D36)</f>
        <v>73696.84</v>
      </c>
      <c r="F37" s="24"/>
      <c r="G37" s="14"/>
      <c r="H37" s="14"/>
      <c r="I37" s="14"/>
      <c r="J37" s="4"/>
      <c r="K37" s="14"/>
      <c r="L37" s="14"/>
      <c r="M37" s="14"/>
      <c r="N37" s="14"/>
      <c r="O37" s="14"/>
      <c r="P37" s="104">
        <f>D37+H37-L37</f>
        <v>0</v>
      </c>
      <c r="Q37" s="65"/>
      <c r="R37" s="14"/>
    </row>
    <row r="38" spans="1:21" x14ac:dyDescent="0.2">
      <c r="A38" s="16"/>
      <c r="B38" s="22"/>
      <c r="C38" s="16"/>
      <c r="D38" s="4"/>
      <c r="E38" s="4"/>
      <c r="F38" s="14"/>
      <c r="G38" s="14"/>
      <c r="H38" s="14"/>
      <c r="I38" s="14"/>
      <c r="J38" s="4"/>
      <c r="K38" s="14"/>
      <c r="L38" s="14"/>
      <c r="M38" s="14"/>
      <c r="N38" s="14"/>
      <c r="O38" s="14"/>
      <c r="P38" s="112"/>
      <c r="Q38" s="113">
        <f>SUM(P26:P37)</f>
        <v>74080.219999999987</v>
      </c>
      <c r="R38" s="114">
        <f>Q38</f>
        <v>74080.219999999987</v>
      </c>
    </row>
    <row r="39" spans="1:21" x14ac:dyDescent="0.2">
      <c r="H39" s="14"/>
      <c r="P39" s="68"/>
      <c r="Q39" s="67"/>
    </row>
    <row r="40" spans="1:21" ht="12" thickBot="1" x14ac:dyDescent="0.25">
      <c r="A40" s="16"/>
      <c r="B40" s="22"/>
      <c r="C40" s="16"/>
      <c r="D40" s="4"/>
      <c r="E40" s="4"/>
      <c r="F40" s="14"/>
      <c r="G40" s="14"/>
      <c r="H40" s="14"/>
      <c r="I40" s="14"/>
      <c r="J40" s="4"/>
      <c r="K40" s="14"/>
      <c r="L40" s="14"/>
      <c r="M40" s="14"/>
      <c r="N40" s="14"/>
      <c r="O40" s="14"/>
      <c r="P40" s="105"/>
      <c r="Q40" s="67"/>
    </row>
    <row r="41" spans="1:21" ht="12" thickBot="1" x14ac:dyDescent="0.25">
      <c r="A41" s="16"/>
      <c r="B41" s="22"/>
      <c r="C41" s="97" t="s">
        <v>412</v>
      </c>
      <c r="D41" s="4"/>
      <c r="E41" s="4"/>
      <c r="F41" s="14"/>
      <c r="G41" s="14"/>
      <c r="H41" s="14"/>
      <c r="I41" s="14"/>
      <c r="J41" s="4"/>
      <c r="K41" s="14"/>
      <c r="L41" s="14"/>
      <c r="M41" s="14"/>
      <c r="N41" s="14"/>
      <c r="O41" s="14"/>
      <c r="P41" s="105"/>
      <c r="Q41" s="63"/>
      <c r="R41" s="14"/>
      <c r="U41" s="14"/>
    </row>
    <row r="42" spans="1:21" x14ac:dyDescent="0.2">
      <c r="A42" s="16"/>
      <c r="B42" s="16"/>
      <c r="C42" s="16"/>
      <c r="D42" s="4"/>
      <c r="E42" s="4"/>
      <c r="F42" s="14"/>
      <c r="G42" s="14"/>
      <c r="H42" s="14"/>
      <c r="I42" s="14"/>
      <c r="J42" s="4"/>
      <c r="K42" s="14"/>
      <c r="L42" s="14"/>
      <c r="M42" s="14"/>
      <c r="N42" s="14"/>
      <c r="O42" s="14"/>
      <c r="P42" s="103"/>
      <c r="Q42" s="63"/>
      <c r="R42" s="14"/>
    </row>
    <row r="43" spans="1:21" x14ac:dyDescent="0.2">
      <c r="A43" s="16" t="s">
        <v>556</v>
      </c>
      <c r="B43" s="16"/>
      <c r="C43" s="16" t="s">
        <v>557</v>
      </c>
      <c r="D43" s="4">
        <v>50000</v>
      </c>
      <c r="E43" s="4">
        <v>50000</v>
      </c>
      <c r="F43" s="14"/>
      <c r="G43" s="14"/>
      <c r="H43" s="14"/>
      <c r="I43" s="14"/>
      <c r="J43" s="4"/>
      <c r="K43" s="14"/>
      <c r="L43" s="14"/>
      <c r="M43" s="14"/>
      <c r="N43" s="14"/>
      <c r="O43" s="14"/>
      <c r="P43" s="17">
        <f>D43+H43+I43-L43</f>
        <v>50000</v>
      </c>
      <c r="Q43" s="14"/>
      <c r="R43" s="14" t="s">
        <v>570</v>
      </c>
    </row>
    <row r="44" spans="1:21" x14ac:dyDescent="0.2">
      <c r="H44" s="14"/>
      <c r="P44" s="17"/>
      <c r="Q44" s="67"/>
    </row>
    <row r="45" spans="1:21" x14ac:dyDescent="0.2">
      <c r="A45" s="16" t="s">
        <v>84</v>
      </c>
      <c r="B45" s="16" t="s">
        <v>85</v>
      </c>
      <c r="C45" s="16" t="s">
        <v>83</v>
      </c>
      <c r="D45" s="4">
        <v>9110.19</v>
      </c>
      <c r="E45" s="4"/>
      <c r="F45" s="14"/>
      <c r="G45" s="14"/>
      <c r="H45" s="14">
        <v>3231.84</v>
      </c>
      <c r="I45" s="14"/>
      <c r="J45" s="4"/>
      <c r="K45" s="14"/>
      <c r="L45" s="14"/>
      <c r="M45" s="14"/>
      <c r="N45" s="14"/>
      <c r="O45" s="14"/>
      <c r="P45" s="103">
        <f>D45+H45-L45+N45</f>
        <v>12342.03</v>
      </c>
      <c r="Q45" s="63"/>
      <c r="R45" s="14"/>
    </row>
    <row r="46" spans="1:21" x14ac:dyDescent="0.2">
      <c r="A46" s="16" t="s">
        <v>99</v>
      </c>
      <c r="B46" s="16" t="s">
        <v>77</v>
      </c>
      <c r="C46" s="16" t="s">
        <v>78</v>
      </c>
      <c r="D46" s="4">
        <v>3688.48</v>
      </c>
      <c r="E46" s="4"/>
      <c r="F46" s="14"/>
      <c r="G46" s="14"/>
      <c r="H46" s="14"/>
      <c r="I46" s="14"/>
      <c r="J46" s="4"/>
      <c r="K46" s="14"/>
      <c r="L46" s="14">
        <v>80</v>
      </c>
      <c r="M46" s="14"/>
      <c r="N46" s="14"/>
      <c r="O46" s="14"/>
      <c r="P46" s="103">
        <f>D46+H46-L46</f>
        <v>3608.48</v>
      </c>
      <c r="Q46" s="63"/>
      <c r="R46" s="14"/>
    </row>
    <row r="47" spans="1:21" x14ac:dyDescent="0.2">
      <c r="A47" s="16" t="s">
        <v>509</v>
      </c>
      <c r="B47" s="16"/>
      <c r="C47" s="16" t="s">
        <v>491</v>
      </c>
      <c r="D47" s="4">
        <v>119</v>
      </c>
      <c r="E47" s="4"/>
      <c r="F47" s="14"/>
      <c r="G47" s="14"/>
      <c r="H47" s="14"/>
      <c r="I47" s="14"/>
      <c r="J47" s="4"/>
      <c r="K47" s="14"/>
      <c r="L47" s="14"/>
      <c r="M47" s="14"/>
      <c r="N47" s="14"/>
      <c r="O47" s="14"/>
      <c r="P47" s="103">
        <f>D47+H47-L47</f>
        <v>119</v>
      </c>
      <c r="Q47" s="63"/>
      <c r="R47" s="14"/>
    </row>
    <row r="48" spans="1:21" x14ac:dyDescent="0.2">
      <c r="A48" s="16" t="s">
        <v>650</v>
      </c>
      <c r="B48" s="16"/>
      <c r="C48" s="16" t="s">
        <v>651</v>
      </c>
      <c r="D48" s="4"/>
      <c r="E48" s="4"/>
      <c r="F48" s="14"/>
      <c r="G48" s="14"/>
      <c r="H48" s="14"/>
      <c r="I48" s="14"/>
      <c r="J48" s="4"/>
      <c r="K48" s="14"/>
      <c r="L48" s="14"/>
      <c r="M48" s="14"/>
      <c r="N48" s="14"/>
      <c r="O48" s="14"/>
      <c r="P48" s="103"/>
      <c r="Q48" s="63"/>
      <c r="R48" s="14"/>
    </row>
    <row r="49" spans="1:21" x14ac:dyDescent="0.2">
      <c r="A49" s="16" t="s">
        <v>101</v>
      </c>
      <c r="B49" s="16" t="s">
        <v>79</v>
      </c>
      <c r="C49" s="16" t="s">
        <v>410</v>
      </c>
      <c r="D49" s="4">
        <v>5575.67</v>
      </c>
      <c r="E49" s="4"/>
      <c r="F49" s="14"/>
      <c r="G49" s="14"/>
      <c r="H49" s="14"/>
      <c r="I49" s="14"/>
      <c r="J49" s="4"/>
      <c r="K49" s="14"/>
      <c r="L49" s="14"/>
      <c r="M49" s="14"/>
      <c r="N49" s="14"/>
      <c r="O49" s="14"/>
      <c r="P49" s="103">
        <f>D49+H49-L49</f>
        <v>5575.67</v>
      </c>
      <c r="Q49" s="63"/>
      <c r="R49" s="14"/>
    </row>
    <row r="50" spans="1:21" ht="12" thickBot="1" x14ac:dyDescent="0.25">
      <c r="A50" s="16" t="s">
        <v>76</v>
      </c>
      <c r="B50" s="16" t="s">
        <v>77</v>
      </c>
      <c r="C50" s="16" t="s">
        <v>452</v>
      </c>
      <c r="D50" s="25">
        <v>7625.26</v>
      </c>
      <c r="E50" s="25"/>
      <c r="F50" s="14"/>
      <c r="G50" s="14"/>
      <c r="H50" s="14"/>
      <c r="I50" s="14"/>
      <c r="J50" s="4"/>
      <c r="K50" s="14"/>
      <c r="L50" s="14"/>
      <c r="M50" s="14"/>
      <c r="N50" s="14"/>
      <c r="O50" s="14"/>
      <c r="P50" s="103">
        <f>D50+H50-L50</f>
        <v>7625.26</v>
      </c>
      <c r="Q50" s="63"/>
      <c r="R50" s="14"/>
    </row>
    <row r="51" spans="1:21" x14ac:dyDescent="0.2">
      <c r="E51" s="14">
        <f>SUM(D45:D50)</f>
        <v>26118.6</v>
      </c>
      <c r="F51" s="14"/>
      <c r="H51" s="14"/>
      <c r="P51" s="68"/>
      <c r="Q51" s="67"/>
    </row>
    <row r="52" spans="1:21" x14ac:dyDescent="0.2">
      <c r="A52" s="16" t="s">
        <v>82</v>
      </c>
      <c r="B52" s="16" t="s">
        <v>478</v>
      </c>
      <c r="C52" s="16" t="s">
        <v>97</v>
      </c>
      <c r="D52" s="4"/>
      <c r="E52" s="4"/>
      <c r="F52" s="14"/>
      <c r="G52" s="14"/>
      <c r="H52" s="14"/>
      <c r="I52" s="14"/>
      <c r="J52" s="4"/>
      <c r="K52" s="14"/>
      <c r="L52" s="14"/>
      <c r="M52" s="14"/>
      <c r="N52" s="14"/>
      <c r="O52" s="14"/>
      <c r="P52" s="103">
        <f>D52+H52-L52</f>
        <v>0</v>
      </c>
      <c r="Q52" s="63"/>
      <c r="R52" s="14"/>
    </row>
    <row r="53" spans="1:21" x14ac:dyDescent="0.2">
      <c r="A53" s="16" t="s">
        <v>71</v>
      </c>
      <c r="B53" s="16" t="s">
        <v>72</v>
      </c>
      <c r="C53" s="16" t="s">
        <v>73</v>
      </c>
      <c r="D53" s="14">
        <v>10875.96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03">
        <f>D53+H53-L53</f>
        <v>10875.96</v>
      </c>
      <c r="Q53" s="63"/>
      <c r="R53" s="14"/>
    </row>
    <row r="54" spans="1:21" x14ac:dyDescent="0.2">
      <c r="A54" s="16" t="s">
        <v>74</v>
      </c>
      <c r="B54" s="16" t="s">
        <v>75</v>
      </c>
      <c r="C54" s="16" t="s">
        <v>102</v>
      </c>
      <c r="D54" s="4">
        <v>1200.28</v>
      </c>
      <c r="E54" s="4"/>
      <c r="F54" s="14"/>
      <c r="G54" s="14"/>
      <c r="H54" s="14"/>
      <c r="I54" s="14"/>
      <c r="J54" s="4"/>
      <c r="K54" s="14"/>
      <c r="L54" s="14"/>
      <c r="M54" s="14"/>
      <c r="N54" s="14"/>
      <c r="O54" s="14"/>
      <c r="P54" s="103">
        <f>D54+H54-L54</f>
        <v>1200.28</v>
      </c>
      <c r="Q54" s="63"/>
      <c r="R54" s="14"/>
    </row>
    <row r="55" spans="1:21" x14ac:dyDescent="0.2">
      <c r="A55" s="16" t="s">
        <v>508</v>
      </c>
      <c r="B55" s="16" t="s">
        <v>507</v>
      </c>
      <c r="C55" s="16" t="s">
        <v>80</v>
      </c>
      <c r="D55" s="4">
        <v>2631.45</v>
      </c>
      <c r="E55" s="4"/>
      <c r="F55" s="14"/>
      <c r="G55" s="14"/>
      <c r="H55" s="14"/>
      <c r="I55" s="14"/>
      <c r="J55" s="4"/>
      <c r="K55" s="14"/>
      <c r="L55" s="14"/>
      <c r="M55" s="14"/>
      <c r="N55" s="14"/>
      <c r="O55" s="14"/>
      <c r="P55" s="103">
        <f>D55+H55-L55</f>
        <v>2631.45</v>
      </c>
      <c r="Q55" s="63"/>
      <c r="R55" s="14"/>
    </row>
    <row r="56" spans="1:21" x14ac:dyDescent="0.2">
      <c r="H56" s="14"/>
      <c r="P56" s="68"/>
      <c r="Q56" s="67"/>
    </row>
    <row r="57" spans="1:21" x14ac:dyDescent="0.2">
      <c r="A57" s="16" t="s">
        <v>508</v>
      </c>
      <c r="B57" s="16"/>
      <c r="C57" s="16" t="s">
        <v>100</v>
      </c>
      <c r="D57" s="4">
        <v>335.93000000000029</v>
      </c>
      <c r="E57" s="4"/>
      <c r="F57" s="14"/>
      <c r="G57" s="14"/>
      <c r="H57" s="14"/>
      <c r="I57" s="14"/>
      <c r="J57" s="4"/>
      <c r="K57" s="14"/>
      <c r="L57" s="14"/>
      <c r="M57" s="14"/>
      <c r="N57" s="14"/>
      <c r="O57" s="14"/>
      <c r="P57" s="103">
        <f>D57+H57-L57</f>
        <v>335.93000000000029</v>
      </c>
      <c r="Q57" s="63"/>
      <c r="R57" s="14"/>
    </row>
    <row r="58" spans="1:21" ht="12" thickBot="1" x14ac:dyDescent="0.25">
      <c r="A58" s="16" t="s">
        <v>510</v>
      </c>
      <c r="B58" s="16"/>
      <c r="C58" s="16" t="s">
        <v>98</v>
      </c>
      <c r="D58" s="25">
        <v>1342.15</v>
      </c>
      <c r="E58" s="25"/>
      <c r="F58" s="14"/>
      <c r="G58" s="14"/>
      <c r="H58" s="14"/>
      <c r="I58" s="14"/>
      <c r="J58" s="4"/>
      <c r="K58" s="14"/>
      <c r="L58" s="14">
        <v>1342.15</v>
      </c>
      <c r="M58" s="14"/>
      <c r="N58" s="14"/>
      <c r="O58" s="14"/>
      <c r="P58" s="103">
        <f>D58+H58-L58</f>
        <v>0</v>
      </c>
      <c r="Q58" s="63">
        <f>SUM(P42:P58)</f>
        <v>94314.06</v>
      </c>
      <c r="R58" s="14">
        <f>Q58</f>
        <v>94314.06</v>
      </c>
      <c r="U58" s="14">
        <f>SUM(R27:R58)</f>
        <v>168394.27999999997</v>
      </c>
    </row>
    <row r="59" spans="1:21" ht="12" thickBot="1" x14ac:dyDescent="0.25">
      <c r="E59" s="14">
        <f>SUM(D53:D58)</f>
        <v>16385.77</v>
      </c>
      <c r="F59" s="14"/>
      <c r="H59" s="14"/>
      <c r="P59" s="106"/>
      <c r="Q59" s="88"/>
    </row>
    <row r="60" spans="1:21" x14ac:dyDescent="0.2">
      <c r="A60" s="16"/>
      <c r="B60" s="16"/>
      <c r="C60" s="16"/>
      <c r="D60" s="4"/>
      <c r="E60" s="4"/>
      <c r="F60" s="14"/>
      <c r="G60" s="14"/>
      <c r="H60" s="14"/>
      <c r="I60" s="14"/>
      <c r="J60" s="4"/>
      <c r="K60" s="14"/>
      <c r="L60" s="14"/>
      <c r="M60" s="14"/>
      <c r="N60" s="14"/>
      <c r="O60" s="14"/>
      <c r="P60" s="17">
        <f>D60+F60-K60-M60</f>
        <v>0</v>
      </c>
      <c r="Q60" s="14"/>
      <c r="R60" s="14"/>
    </row>
    <row r="61" spans="1:21" x14ac:dyDescent="0.2">
      <c r="A61" s="16"/>
      <c r="B61" s="16"/>
      <c r="C61" s="16"/>
      <c r="D61" s="4"/>
      <c r="E61" s="4"/>
      <c r="F61" s="14"/>
      <c r="G61" s="14"/>
      <c r="H61" s="14"/>
      <c r="I61" s="14"/>
      <c r="J61" s="4"/>
      <c r="K61" s="14"/>
      <c r="L61" s="14"/>
      <c r="M61" s="14"/>
      <c r="N61" s="14"/>
      <c r="O61" s="14"/>
      <c r="P61" s="17"/>
      <c r="Q61" s="14"/>
      <c r="R61" s="14"/>
    </row>
    <row r="62" spans="1:21" x14ac:dyDescent="0.2">
      <c r="A62" s="16"/>
      <c r="B62" s="16"/>
      <c r="C62" s="16"/>
      <c r="D62" s="4"/>
      <c r="E62" s="4"/>
      <c r="F62" s="14"/>
      <c r="G62" s="14"/>
      <c r="H62" s="14"/>
      <c r="I62" s="14"/>
      <c r="J62" s="4"/>
      <c r="K62" s="14"/>
      <c r="L62" s="14"/>
      <c r="M62" s="14"/>
      <c r="N62" s="14"/>
      <c r="O62" s="14"/>
      <c r="P62" s="17"/>
      <c r="Q62" s="14"/>
      <c r="R62" s="14"/>
    </row>
    <row r="63" spans="1:21" x14ac:dyDescent="0.2">
      <c r="A63" s="16"/>
      <c r="B63" s="16"/>
      <c r="C63" s="16"/>
      <c r="D63" s="4"/>
      <c r="E63" s="4"/>
      <c r="F63" s="14"/>
      <c r="G63" s="14"/>
      <c r="H63" s="14"/>
      <c r="I63" s="14"/>
      <c r="J63" s="4"/>
      <c r="K63" s="14"/>
      <c r="L63" s="14"/>
      <c r="M63" s="14"/>
      <c r="N63" s="14"/>
      <c r="O63" s="14"/>
      <c r="P63" s="17"/>
      <c r="Q63" s="14"/>
      <c r="R63" s="14"/>
    </row>
    <row r="64" spans="1:21" x14ac:dyDescent="0.2">
      <c r="A64" s="16"/>
      <c r="B64" s="16"/>
      <c r="C64" s="26"/>
      <c r="D64" s="4"/>
      <c r="E64" s="4"/>
      <c r="F64" s="14"/>
      <c r="G64" s="14"/>
      <c r="H64" s="14"/>
      <c r="I64" s="14"/>
      <c r="J64" s="4"/>
      <c r="K64" s="14"/>
      <c r="L64" s="14"/>
      <c r="M64" s="14"/>
      <c r="N64" s="14"/>
      <c r="O64" s="14"/>
      <c r="P64" s="14"/>
      <c r="Q64" s="14"/>
      <c r="R64" s="14"/>
    </row>
    <row r="65" spans="1:255" ht="12" thickBot="1" x14ac:dyDescent="0.25">
      <c r="A65" s="16"/>
      <c r="B65" s="16"/>
      <c r="C65" s="4" t="s">
        <v>86</v>
      </c>
      <c r="D65" s="25">
        <v>20482.009999999998</v>
      </c>
      <c r="E65" s="25"/>
      <c r="F65" s="14"/>
      <c r="G65" s="14"/>
      <c r="H65" s="14"/>
      <c r="I65" s="14"/>
      <c r="J65" s="4"/>
      <c r="K65" s="14"/>
      <c r="L65" s="14"/>
      <c r="M65" s="14"/>
      <c r="N65" s="14"/>
      <c r="O65" s="14"/>
      <c r="P65" s="17">
        <f>D65+H65-L65</f>
        <v>20482.009999999998</v>
      </c>
      <c r="Q65" s="24">
        <f>P65</f>
        <v>20482.009999999998</v>
      </c>
      <c r="R65" s="24"/>
      <c r="S65" s="54"/>
    </row>
    <row r="66" spans="1:255" ht="12" thickBot="1" x14ac:dyDescent="0.25">
      <c r="A66" s="16"/>
      <c r="B66" s="16"/>
      <c r="C66" s="16"/>
      <c r="D66" s="4"/>
      <c r="E66" s="4">
        <f>D65</f>
        <v>20482.009999999998</v>
      </c>
      <c r="F66" s="24">
        <f>E66</f>
        <v>20482.009999999998</v>
      </c>
      <c r="G66" s="14"/>
      <c r="H66" s="14"/>
      <c r="I66" s="14"/>
      <c r="J66" s="4"/>
      <c r="K66" s="14"/>
      <c r="L66" s="14"/>
      <c r="M66" s="14"/>
      <c r="N66" s="14"/>
      <c r="O66" s="14"/>
      <c r="P66" s="14"/>
      <c r="Q66" s="14"/>
      <c r="R66" s="14"/>
      <c r="S66" s="14">
        <f>SUM(Q38:Q65)</f>
        <v>188876.28999999998</v>
      </c>
    </row>
    <row r="67" spans="1:255" ht="12" thickBot="1" x14ac:dyDescent="0.25">
      <c r="A67" s="16"/>
      <c r="B67" s="16"/>
      <c r="C67" s="16"/>
      <c r="D67" s="4"/>
      <c r="E67" s="28"/>
      <c r="G67" s="14"/>
      <c r="H67" s="14"/>
      <c r="I67" s="14"/>
      <c r="J67" s="4"/>
      <c r="K67" s="14"/>
      <c r="L67" s="14"/>
      <c r="M67" s="14"/>
      <c r="N67" s="14"/>
      <c r="O67" s="14"/>
      <c r="P67" s="14"/>
      <c r="Q67" s="14"/>
      <c r="R67" s="14"/>
      <c r="S67" s="14"/>
    </row>
    <row r="68" spans="1:255" x14ac:dyDescent="0.2">
      <c r="A68" s="16"/>
      <c r="B68" s="16"/>
      <c r="C68" s="16"/>
      <c r="D68" s="4"/>
      <c r="E68" s="4"/>
      <c r="F68" s="14"/>
      <c r="G68" s="14"/>
      <c r="H68" s="14"/>
      <c r="I68" s="14"/>
      <c r="J68" s="4"/>
      <c r="K68" s="14"/>
      <c r="L68" s="14"/>
      <c r="M68" s="14"/>
      <c r="N68" s="14"/>
      <c r="O68" s="14"/>
      <c r="P68" s="14"/>
      <c r="Q68" s="14"/>
      <c r="R68" s="14"/>
      <c r="S68" s="14"/>
    </row>
    <row r="69" spans="1:255" x14ac:dyDescent="0.2">
      <c r="A69" s="16"/>
      <c r="B69" s="16"/>
      <c r="C69" s="16" t="s">
        <v>384</v>
      </c>
      <c r="D69" s="4">
        <v>65537.53</v>
      </c>
      <c r="E69" s="4"/>
      <c r="F69" s="14"/>
      <c r="G69" s="14"/>
      <c r="H69" s="14"/>
      <c r="I69" s="14"/>
      <c r="J69" s="4"/>
      <c r="K69" s="14"/>
      <c r="L69" s="14"/>
      <c r="M69" s="14"/>
      <c r="N69" s="14"/>
      <c r="O69" s="14"/>
      <c r="P69" s="17">
        <f>D69+H69-L69</f>
        <v>65537.53</v>
      </c>
      <c r="Q69" s="14"/>
      <c r="R69" s="14"/>
    </row>
    <row r="70" spans="1:255" ht="12" thickBot="1" x14ac:dyDescent="0.25">
      <c r="A70" s="16"/>
      <c r="B70" s="16"/>
      <c r="C70" s="16" t="s">
        <v>385</v>
      </c>
      <c r="D70" s="25">
        <v>505</v>
      </c>
      <c r="E70" s="25"/>
      <c r="F70" s="14"/>
      <c r="G70" s="14"/>
      <c r="H70" s="14"/>
      <c r="I70" s="14"/>
      <c r="J70" s="4"/>
      <c r="K70" s="14"/>
      <c r="L70" s="14"/>
      <c r="M70" s="14"/>
      <c r="N70" s="14"/>
      <c r="O70" s="14"/>
      <c r="P70" s="17">
        <f>D70+H70-L70</f>
        <v>505</v>
      </c>
      <c r="Q70" s="24"/>
      <c r="R70" s="14"/>
    </row>
    <row r="71" spans="1:255" ht="12" thickBot="1" x14ac:dyDescent="0.25">
      <c r="A71" s="16"/>
      <c r="B71" s="16"/>
      <c r="C71" s="16"/>
      <c r="D71" s="4"/>
      <c r="E71" s="4">
        <f>SUM(D69:D70)</f>
        <v>66042.53</v>
      </c>
      <c r="F71" s="14"/>
      <c r="G71" s="14"/>
      <c r="H71" s="14"/>
      <c r="I71" s="14"/>
      <c r="J71" s="4"/>
      <c r="K71" s="14"/>
      <c r="L71" s="14"/>
      <c r="M71" s="14"/>
      <c r="N71" s="14"/>
      <c r="O71" s="14"/>
      <c r="P71" s="14"/>
      <c r="Q71" s="20">
        <f>SUM(P69:P70)</f>
        <v>66042.53</v>
      </c>
      <c r="R71" s="14"/>
    </row>
    <row r="72" spans="1:255" x14ac:dyDescent="0.2">
      <c r="A72" s="16"/>
      <c r="B72" s="16"/>
      <c r="C72" s="16"/>
      <c r="D72" s="4"/>
      <c r="E72" s="4"/>
      <c r="F72" s="14"/>
      <c r="G72" s="14"/>
      <c r="H72" s="14"/>
      <c r="I72" s="14"/>
      <c r="J72" s="4"/>
      <c r="K72" s="14"/>
      <c r="L72" s="14"/>
      <c r="M72" s="14"/>
      <c r="N72" s="14"/>
      <c r="O72" s="14"/>
      <c r="P72" s="14"/>
      <c r="Q72" s="14"/>
      <c r="R72" s="14"/>
      <c r="S72" s="14"/>
    </row>
    <row r="73" spans="1:255" x14ac:dyDescent="0.2">
      <c r="A73" s="16"/>
      <c r="B73" s="16"/>
      <c r="C73" s="16"/>
      <c r="D73" s="4"/>
      <c r="E73" s="4"/>
      <c r="F73" s="14"/>
      <c r="G73" s="14"/>
      <c r="H73" s="14"/>
      <c r="I73" s="14"/>
      <c r="J73" s="4"/>
      <c r="K73" s="14"/>
      <c r="L73" s="14"/>
      <c r="M73" s="14"/>
      <c r="N73" s="14"/>
      <c r="O73" s="14"/>
      <c r="P73" s="14"/>
      <c r="Q73" s="14"/>
      <c r="R73" s="14"/>
    </row>
    <row r="74" spans="1:255" x14ac:dyDescent="0.2">
      <c r="A74" s="16"/>
      <c r="B74" s="16"/>
      <c r="C74" s="16" t="s">
        <v>558</v>
      </c>
      <c r="D74" s="4"/>
      <c r="E74" s="4"/>
      <c r="F74" s="14"/>
      <c r="G74" s="14"/>
      <c r="H74" s="14"/>
      <c r="I74" s="14"/>
      <c r="J74" s="4"/>
      <c r="K74" s="14"/>
      <c r="L74" s="14"/>
      <c r="M74" s="14"/>
      <c r="N74" s="14"/>
      <c r="O74" s="14"/>
      <c r="P74" s="14"/>
      <c r="Q74" s="14"/>
      <c r="R74" s="14"/>
    </row>
    <row r="75" spans="1:255" x14ac:dyDescent="0.2">
      <c r="A75" s="23"/>
      <c r="B75" s="23"/>
      <c r="C75" s="16"/>
      <c r="D75" s="4"/>
      <c r="E75" s="4"/>
      <c r="F75" s="14"/>
      <c r="G75" s="14"/>
      <c r="H75" s="14"/>
      <c r="I75" s="14"/>
      <c r="J75" s="4"/>
      <c r="K75" s="14"/>
      <c r="L75" s="14"/>
      <c r="M75" s="14"/>
      <c r="N75" s="14"/>
      <c r="O75" s="14"/>
      <c r="P75" s="14"/>
      <c r="Q75" s="14"/>
      <c r="R75" s="14"/>
    </row>
    <row r="76" spans="1:255" x14ac:dyDescent="0.2">
      <c r="A76" s="29"/>
      <c r="B76" s="29"/>
      <c r="C76" s="30" t="s">
        <v>89</v>
      </c>
      <c r="D76" s="31"/>
      <c r="E76" s="31"/>
      <c r="F76" s="15"/>
      <c r="G76" s="15"/>
      <c r="H76" s="15"/>
      <c r="I76" s="15"/>
      <c r="J76" s="31"/>
      <c r="K76" s="15"/>
      <c r="L76" s="15"/>
      <c r="M76" s="15"/>
      <c r="N76" s="15"/>
      <c r="O76" s="15"/>
      <c r="P76" s="15"/>
      <c r="Q76" s="15"/>
      <c r="R76" s="15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29"/>
      <c r="HQ76" s="29"/>
      <c r="HR76" s="29"/>
      <c r="HS76" s="29"/>
      <c r="HT76" s="29"/>
      <c r="HU76" s="29"/>
      <c r="HV76" s="29"/>
      <c r="HW76" s="29"/>
      <c r="HX76" s="29"/>
      <c r="HY76" s="29"/>
      <c r="HZ76" s="29"/>
      <c r="IA76" s="29"/>
      <c r="IB76" s="29"/>
      <c r="IC76" s="29"/>
      <c r="ID76" s="29"/>
      <c r="IE76" s="29"/>
      <c r="IF76" s="29"/>
      <c r="IG76" s="29"/>
      <c r="IH76" s="29"/>
      <c r="II76" s="29"/>
      <c r="IJ76" s="29"/>
      <c r="IK76" s="29"/>
      <c r="IL76" s="29"/>
      <c r="IM76" s="29"/>
      <c r="IN76" s="29"/>
      <c r="IO76" s="29"/>
      <c r="IP76" s="29"/>
      <c r="IQ76" s="29"/>
      <c r="IR76" s="29"/>
      <c r="IS76" s="29"/>
      <c r="IT76" s="29"/>
      <c r="IU76" s="29"/>
    </row>
    <row r="77" spans="1:255" x14ac:dyDescent="0.2">
      <c r="A77" s="16"/>
      <c r="B77" s="22"/>
      <c r="C77" s="16" t="s">
        <v>90</v>
      </c>
      <c r="D77" s="4">
        <v>52957.62</v>
      </c>
      <c r="E77" s="4"/>
      <c r="F77" s="14"/>
      <c r="G77" s="14"/>
      <c r="H77" s="14"/>
      <c r="I77" s="14"/>
      <c r="J77" s="4"/>
      <c r="K77" s="14"/>
      <c r="L77" s="14"/>
      <c r="M77" s="14"/>
      <c r="N77" s="14"/>
      <c r="O77" s="14"/>
      <c r="P77" s="14">
        <f>SUM(D77:N77)</f>
        <v>52957.62</v>
      </c>
      <c r="Q77" s="14"/>
      <c r="R77" s="14"/>
    </row>
    <row r="78" spans="1:255" x14ac:dyDescent="0.2">
      <c r="A78" s="16"/>
      <c r="B78" s="22" t="s">
        <v>91</v>
      </c>
      <c r="C78" s="16" t="s">
        <v>92</v>
      </c>
      <c r="D78" s="4">
        <v>26800</v>
      </c>
      <c r="E78" s="4">
        <f>SUM(D77:D78)</f>
        <v>79757.62</v>
      </c>
      <c r="F78" s="14"/>
      <c r="G78" s="14"/>
      <c r="H78" s="14"/>
      <c r="I78" s="14"/>
      <c r="J78" s="4"/>
      <c r="K78" s="14"/>
      <c r="L78" s="14"/>
      <c r="M78" s="14"/>
      <c r="O78" s="14"/>
      <c r="P78" s="14">
        <f>D78+H78</f>
        <v>26800</v>
      </c>
      <c r="Q78" s="14">
        <f>SUM(P77:P78)</f>
        <v>79757.62</v>
      </c>
      <c r="R78" s="14"/>
    </row>
    <row r="79" spans="1:255" ht="12" thickBot="1" x14ac:dyDescent="0.25">
      <c r="A79" s="16"/>
      <c r="B79" s="16"/>
      <c r="C79" s="16"/>
      <c r="D79" s="4"/>
      <c r="E79" s="4"/>
      <c r="F79" s="14"/>
      <c r="G79" s="14"/>
      <c r="H79" s="14"/>
      <c r="I79" s="14"/>
      <c r="J79" s="4"/>
      <c r="K79" s="14"/>
      <c r="L79" s="14"/>
      <c r="M79" s="14"/>
      <c r="N79" s="14"/>
      <c r="O79" s="14"/>
      <c r="P79" s="14"/>
      <c r="Q79" s="14"/>
      <c r="R79" s="14"/>
    </row>
    <row r="80" spans="1:255" ht="12" thickBot="1" x14ac:dyDescent="0.25">
      <c r="A80" s="16"/>
      <c r="B80" s="16" t="s">
        <v>93</v>
      </c>
      <c r="C80" s="16"/>
      <c r="D80" s="32">
        <f>SUM(D5:D79)</f>
        <v>349929.74</v>
      </c>
      <c r="E80" s="32">
        <f>SUM(E6:E79)</f>
        <v>349929.74</v>
      </c>
      <c r="F80" s="14">
        <f>SUM(F59:F66)</f>
        <v>20482.009999999998</v>
      </c>
      <c r="G80" s="47"/>
      <c r="H80" s="32">
        <f>SUM(H11:H79)</f>
        <v>28261.99</v>
      </c>
      <c r="I80" s="32"/>
      <c r="J80" s="32"/>
      <c r="K80" s="47">
        <f>SUM(K18:K79)</f>
        <v>0</v>
      </c>
      <c r="L80" s="47">
        <f>SUM(L14:L76)</f>
        <v>1422.15</v>
      </c>
      <c r="M80" s="32"/>
      <c r="N80" s="32">
        <f>SUM(N5:N79)</f>
        <v>0</v>
      </c>
      <c r="O80" s="32"/>
      <c r="P80" s="32">
        <f>SUM(P6:P78)</f>
        <v>376769.58</v>
      </c>
      <c r="Q80" s="32"/>
      <c r="R80" s="4"/>
    </row>
    <row r="81" spans="1:18" x14ac:dyDescent="0.2">
      <c r="A81" s="27"/>
      <c r="B81" s="27"/>
      <c r="C81" s="27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x14ac:dyDescent="0.2">
      <c r="A82" s="27"/>
      <c r="B82" s="27"/>
      <c r="C82" s="27"/>
      <c r="D82" s="14"/>
      <c r="E82" s="14"/>
      <c r="F82" s="14"/>
      <c r="G82" s="14"/>
      <c r="H82" s="14">
        <f>SUM(H80)</f>
        <v>28261.99</v>
      </c>
      <c r="I82" s="14"/>
      <c r="J82" s="14"/>
      <c r="K82" s="14"/>
      <c r="L82" s="46">
        <f>SUM(K80:L80)</f>
        <v>1422.15</v>
      </c>
      <c r="N82" s="14"/>
      <c r="O82" s="14"/>
      <c r="P82" s="14"/>
      <c r="Q82" s="14"/>
      <c r="R82" s="14"/>
    </row>
    <row r="83" spans="1:18" x14ac:dyDescent="0.2">
      <c r="A83" s="27"/>
      <c r="B83" s="27"/>
      <c r="C83" s="27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</row>
    <row r="84" spans="1:18" ht="0.6" customHeight="1" x14ac:dyDescent="0.2"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</row>
    <row r="85" spans="1:18" x14ac:dyDescent="0.2">
      <c r="C85" s="23"/>
      <c r="H85" s="14"/>
      <c r="K85" s="14"/>
      <c r="L85" s="14">
        <v>0</v>
      </c>
      <c r="M85" s="14"/>
    </row>
    <row r="86" spans="1:18" x14ac:dyDescent="0.2">
      <c r="C86" s="23"/>
      <c r="E86" s="14"/>
      <c r="F86" s="14"/>
      <c r="H86" s="14"/>
    </row>
    <row r="87" spans="1:18" x14ac:dyDescent="0.2">
      <c r="C87" s="23"/>
      <c r="E87" s="59"/>
      <c r="F87" s="53"/>
      <c r="G87" s="53"/>
      <c r="H87" s="59"/>
      <c r="I87" s="27"/>
      <c r="J87" s="27"/>
      <c r="K87" s="27"/>
      <c r="L87" s="53"/>
      <c r="M87" s="27"/>
      <c r="N87" s="27"/>
      <c r="O87" s="27"/>
      <c r="P87" s="27"/>
    </row>
    <row r="88" spans="1:18" x14ac:dyDescent="0.2">
      <c r="C88" s="23"/>
      <c r="E88" s="14"/>
      <c r="F88" s="14"/>
      <c r="H88" s="14"/>
    </row>
    <row r="89" spans="1:18" x14ac:dyDescent="0.2">
      <c r="C89" s="23"/>
      <c r="E89" s="14"/>
      <c r="F89" s="14"/>
      <c r="H89" s="14"/>
    </row>
    <row r="90" spans="1:18" x14ac:dyDescent="0.2">
      <c r="C90" s="23"/>
      <c r="E90" s="14"/>
      <c r="F90" s="14"/>
      <c r="H90" s="14"/>
    </row>
    <row r="91" spans="1:18" x14ac:dyDescent="0.2">
      <c r="C91" s="23"/>
      <c r="E91" s="14"/>
      <c r="F91" s="14"/>
      <c r="H91" s="14"/>
    </row>
    <row r="92" spans="1:18" x14ac:dyDescent="0.2">
      <c r="C92" s="23"/>
      <c r="E92" s="14"/>
      <c r="F92" s="14"/>
      <c r="H92" s="14"/>
    </row>
    <row r="93" spans="1:18" x14ac:dyDescent="0.2">
      <c r="C93" s="23"/>
      <c r="E93" s="14"/>
      <c r="F93" s="14"/>
      <c r="H93" s="14"/>
    </row>
    <row r="94" spans="1:18" x14ac:dyDescent="0.2">
      <c r="C94" s="23"/>
      <c r="E94" s="14"/>
      <c r="F94" s="14"/>
      <c r="H94" s="14"/>
    </row>
    <row r="95" spans="1:18" x14ac:dyDescent="0.2">
      <c r="C95" s="23"/>
      <c r="E95" s="14"/>
      <c r="F95" s="14"/>
      <c r="H95" s="14"/>
    </row>
    <row r="96" spans="1:18" x14ac:dyDescent="0.2">
      <c r="C96" s="23"/>
      <c r="E96" s="14"/>
      <c r="F96" s="14"/>
      <c r="H96" s="14"/>
    </row>
    <row r="97" spans="3:8" x14ac:dyDescent="0.2">
      <c r="C97" s="23"/>
      <c r="E97" s="14"/>
      <c r="F97" s="14"/>
      <c r="H97" s="14"/>
    </row>
    <row r="98" spans="3:8" x14ac:dyDescent="0.2">
      <c r="C98" s="23"/>
      <c r="E98" s="14"/>
      <c r="F98" s="14"/>
      <c r="H98" s="14"/>
    </row>
    <row r="99" spans="3:8" x14ac:dyDescent="0.2">
      <c r="C99" s="23"/>
      <c r="E99" s="14"/>
      <c r="F99" s="14"/>
      <c r="H99" s="14"/>
    </row>
    <row r="100" spans="3:8" x14ac:dyDescent="0.2">
      <c r="C100" s="23"/>
      <c r="E100" s="14"/>
      <c r="F100" s="14"/>
      <c r="H100" s="14"/>
    </row>
    <row r="101" spans="3:8" x14ac:dyDescent="0.2">
      <c r="C101" s="23"/>
      <c r="E101" s="14"/>
      <c r="F101" s="14"/>
      <c r="H101" s="14"/>
    </row>
    <row r="102" spans="3:8" x14ac:dyDescent="0.2">
      <c r="C102" s="23"/>
      <c r="E102" s="14"/>
      <c r="F102" s="14"/>
      <c r="H102" s="14"/>
    </row>
    <row r="103" spans="3:8" x14ac:dyDescent="0.2">
      <c r="C103" s="23"/>
      <c r="E103" s="14"/>
      <c r="F103" s="14"/>
      <c r="H103" s="14"/>
    </row>
    <row r="104" spans="3:8" x14ac:dyDescent="0.2">
      <c r="C104" s="23"/>
      <c r="E104" s="14"/>
      <c r="F104" s="14"/>
      <c r="H104" s="14"/>
    </row>
    <row r="105" spans="3:8" x14ac:dyDescent="0.2">
      <c r="C105" s="23"/>
      <c r="E105" s="14"/>
      <c r="F105" s="14"/>
      <c r="H105" s="14"/>
    </row>
    <row r="106" spans="3:8" x14ac:dyDescent="0.2">
      <c r="C106" s="23"/>
      <c r="E106" s="14"/>
      <c r="F106" s="14"/>
      <c r="H106" s="14"/>
    </row>
    <row r="107" spans="3:8" x14ac:dyDescent="0.2">
      <c r="C107" s="23"/>
      <c r="E107" s="14"/>
      <c r="F107" s="14"/>
      <c r="H107" s="14"/>
    </row>
    <row r="108" spans="3:8" x14ac:dyDescent="0.2">
      <c r="C108" s="23"/>
      <c r="E108" s="14"/>
      <c r="F108" s="14"/>
    </row>
    <row r="109" spans="3:8" ht="30.6" customHeight="1" x14ac:dyDescent="0.2">
      <c r="C109" s="23"/>
      <c r="E109" s="14"/>
      <c r="F109" s="14"/>
    </row>
    <row r="110" spans="3:8" x14ac:dyDescent="0.2">
      <c r="C110" s="4"/>
      <c r="D110" s="14"/>
      <c r="E110" s="14"/>
      <c r="F110" s="14"/>
    </row>
    <row r="111" spans="3:8" x14ac:dyDescent="0.2">
      <c r="C111" s="4"/>
      <c r="D111" s="14"/>
      <c r="E111" s="14"/>
      <c r="F111" s="14"/>
    </row>
    <row r="112" spans="3:8" x14ac:dyDescent="0.2">
      <c r="C112" s="4"/>
      <c r="D112" s="14"/>
      <c r="E112" s="14"/>
      <c r="F112" s="14"/>
    </row>
    <row r="113" spans="3:6" x14ac:dyDescent="0.2">
      <c r="C113" s="4"/>
      <c r="D113" s="14"/>
      <c r="E113" s="14"/>
      <c r="F113" s="14"/>
    </row>
  </sheetData>
  <mergeCells count="2">
    <mergeCell ref="F2:H2"/>
    <mergeCell ref="K2:N2"/>
  </mergeCells>
  <pageMargins left="0.7" right="0.7" top="0.75" bottom="0.7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B5E61-27D6-4F68-9CEB-ACEE22F4E4D8}">
  <dimension ref="A1:IU113"/>
  <sheetViews>
    <sheetView zoomScaleNormal="100" workbookViewId="0">
      <pane ySplit="3" topLeftCell="A4" activePane="bottomLeft" state="frozen"/>
      <selection pane="bottomLeft"/>
    </sheetView>
  </sheetViews>
  <sheetFormatPr defaultColWidth="11.85546875" defaultRowHeight="11.25" x14ac:dyDescent="0.2"/>
  <cols>
    <col min="1" max="1" width="11.85546875" style="34" customWidth="1"/>
    <col min="2" max="2" width="11.140625" style="34" customWidth="1"/>
    <col min="3" max="3" width="32.28515625" style="34" customWidth="1"/>
    <col min="4" max="6" width="11.85546875" style="23" customWidth="1"/>
    <col min="7" max="8" width="9.7109375" style="23" customWidth="1"/>
    <col min="9" max="9" width="11.85546875" style="23" customWidth="1"/>
    <col min="10" max="10" width="2.7109375" style="23" customWidth="1"/>
    <col min="11" max="11" width="10" style="23" customWidth="1"/>
    <col min="12" max="12" width="9.7109375" style="23" customWidth="1"/>
    <col min="13" max="13" width="8.42578125" style="23" customWidth="1"/>
    <col min="14" max="14" width="11.85546875" style="23" customWidth="1"/>
    <col min="15" max="15" width="4.7109375" style="23" customWidth="1"/>
    <col min="16" max="16" width="17.7109375" style="23" customWidth="1"/>
    <col min="17" max="18" width="14.42578125" style="23" customWidth="1"/>
    <col min="19" max="16384" width="11.85546875" style="23"/>
  </cols>
  <sheetData>
    <row r="1" spans="1:255" x14ac:dyDescent="0.2">
      <c r="C1" s="35" t="s">
        <v>63</v>
      </c>
    </row>
    <row r="2" spans="1:255" x14ac:dyDescent="0.2">
      <c r="A2" s="27"/>
      <c r="B2" s="27"/>
      <c r="C2" s="35" t="s">
        <v>64</v>
      </c>
      <c r="D2" s="36" t="s">
        <v>11</v>
      </c>
      <c r="E2" s="27"/>
      <c r="F2" s="276"/>
      <c r="G2" s="277"/>
      <c r="H2" s="277"/>
      <c r="I2" s="37"/>
      <c r="J2" s="27"/>
      <c r="K2" s="276" t="s">
        <v>65</v>
      </c>
      <c r="L2" s="277"/>
      <c r="M2" s="278"/>
      <c r="N2" s="279"/>
      <c r="O2" s="37"/>
      <c r="P2" s="36" t="s">
        <v>11</v>
      </c>
      <c r="Q2" s="37"/>
      <c r="R2" s="37"/>
    </row>
    <row r="3" spans="1:255" ht="56.25" x14ac:dyDescent="0.2">
      <c r="A3" s="38" t="s">
        <v>66</v>
      </c>
      <c r="B3" s="38" t="s">
        <v>67</v>
      </c>
      <c r="C3" s="39">
        <v>2024</v>
      </c>
      <c r="D3" s="72" t="s">
        <v>685</v>
      </c>
      <c r="E3" s="40"/>
      <c r="H3" s="21" t="s">
        <v>469</v>
      </c>
      <c r="I3" s="21" t="s">
        <v>470</v>
      </c>
      <c r="J3" s="40"/>
      <c r="K3" s="21"/>
      <c r="L3" s="52" t="s">
        <v>471</v>
      </c>
      <c r="M3" s="41"/>
      <c r="N3" s="42" t="s">
        <v>68</v>
      </c>
      <c r="O3" s="43"/>
      <c r="P3" s="44">
        <v>45658</v>
      </c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</row>
    <row r="4" spans="1:255" x14ac:dyDescent="0.2">
      <c r="A4" s="23"/>
      <c r="B4" s="23"/>
      <c r="C4" s="16"/>
      <c r="D4" s="4"/>
      <c r="E4" s="4"/>
      <c r="F4" s="14"/>
      <c r="G4" s="14"/>
      <c r="H4" s="14"/>
      <c r="I4" s="14"/>
      <c r="J4" s="4"/>
      <c r="K4" s="14"/>
      <c r="L4" s="14"/>
      <c r="M4" s="14"/>
      <c r="N4" s="14"/>
      <c r="O4" s="14"/>
      <c r="P4" s="14"/>
      <c r="Q4" s="14"/>
      <c r="R4" s="14"/>
    </row>
    <row r="5" spans="1:255" x14ac:dyDescent="0.2">
      <c r="A5" s="29"/>
      <c r="B5" s="29"/>
      <c r="C5" s="30" t="s">
        <v>69</v>
      </c>
      <c r="D5" s="31"/>
      <c r="E5" s="31"/>
      <c r="F5" s="15"/>
      <c r="G5" s="15"/>
      <c r="H5" s="15"/>
      <c r="I5" s="15"/>
      <c r="J5" s="31"/>
      <c r="K5" s="15"/>
      <c r="L5" s="15"/>
      <c r="M5" s="15"/>
      <c r="N5" s="15"/>
      <c r="O5" s="15"/>
      <c r="P5" s="15"/>
      <c r="Q5" s="15"/>
      <c r="R5" s="15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</row>
    <row r="6" spans="1:255" x14ac:dyDescent="0.2">
      <c r="A6" s="16"/>
      <c r="B6" s="16"/>
      <c r="C6" s="16"/>
      <c r="D6" s="4"/>
      <c r="E6" s="4"/>
      <c r="F6" s="14"/>
      <c r="G6" s="14"/>
      <c r="H6" s="14"/>
      <c r="I6" s="14"/>
      <c r="J6" s="4"/>
      <c r="K6" s="14"/>
      <c r="L6" s="14"/>
      <c r="M6" s="14"/>
      <c r="N6" s="14"/>
      <c r="O6" s="14"/>
      <c r="P6" s="14"/>
      <c r="Q6" s="14"/>
      <c r="R6" s="14"/>
    </row>
    <row r="7" spans="1:255" x14ac:dyDescent="0.2">
      <c r="A7" s="16"/>
      <c r="B7" s="16"/>
      <c r="C7" s="16"/>
      <c r="D7" s="4"/>
      <c r="E7" s="4"/>
      <c r="F7" s="14"/>
      <c r="G7" s="14"/>
      <c r="H7" s="14"/>
      <c r="I7" s="14"/>
      <c r="J7" s="4"/>
      <c r="K7" s="14"/>
      <c r="M7" s="14"/>
      <c r="N7" s="14"/>
      <c r="O7" s="14"/>
      <c r="P7" s="17"/>
      <c r="Q7" s="14"/>
      <c r="R7" s="14"/>
    </row>
    <row r="8" spans="1:255" x14ac:dyDescent="0.2">
      <c r="B8" s="16" t="s">
        <v>429</v>
      </c>
      <c r="C8" s="16" t="s">
        <v>381</v>
      </c>
      <c r="D8" s="4">
        <v>11760.93</v>
      </c>
      <c r="E8" s="4">
        <f>D8</f>
        <v>11760.93</v>
      </c>
      <c r="F8" s="14"/>
      <c r="G8" s="14"/>
      <c r="H8" s="14"/>
      <c r="I8" s="14"/>
      <c r="J8" s="4"/>
      <c r="K8" s="14"/>
      <c r="L8" s="14"/>
      <c r="M8" s="14"/>
      <c r="N8" s="14"/>
      <c r="O8" s="14"/>
      <c r="P8" s="17">
        <f>D8+H8-L8</f>
        <v>11760.93</v>
      </c>
      <c r="Q8" s="14" t="s">
        <v>570</v>
      </c>
      <c r="R8" s="14"/>
    </row>
    <row r="9" spans="1:255" x14ac:dyDescent="0.2">
      <c r="B9" s="16"/>
      <c r="C9" s="16"/>
      <c r="D9" s="4"/>
      <c r="E9" s="4"/>
      <c r="F9" s="14"/>
      <c r="G9" s="14"/>
      <c r="H9" s="14"/>
      <c r="I9" s="14"/>
      <c r="J9" s="4"/>
      <c r="K9" s="14"/>
      <c r="L9" s="14"/>
      <c r="M9" s="14"/>
      <c r="N9" s="14"/>
      <c r="O9" s="14"/>
      <c r="P9" s="17"/>
      <c r="Q9" s="14"/>
      <c r="R9" s="14"/>
    </row>
    <row r="10" spans="1:255" x14ac:dyDescent="0.2">
      <c r="A10" s="16" t="s">
        <v>544</v>
      </c>
      <c r="B10" s="16" t="s">
        <v>430</v>
      </c>
      <c r="C10" s="16" t="s">
        <v>392</v>
      </c>
      <c r="D10" s="4">
        <v>0</v>
      </c>
      <c r="E10" s="4"/>
      <c r="F10" s="14"/>
      <c r="G10" s="14"/>
      <c r="H10" s="14"/>
      <c r="I10" s="14"/>
      <c r="J10" s="4"/>
      <c r="K10" s="14"/>
      <c r="L10" s="14"/>
      <c r="M10" s="14"/>
      <c r="N10" s="14"/>
      <c r="O10" s="14"/>
      <c r="P10" s="17"/>
      <c r="Q10" s="14"/>
      <c r="R10" s="14"/>
    </row>
    <row r="11" spans="1:255" x14ac:dyDescent="0.2">
      <c r="A11" s="16" t="s">
        <v>544</v>
      </c>
      <c r="B11" s="22"/>
      <c r="C11" s="16" t="s">
        <v>545</v>
      </c>
      <c r="D11" s="4"/>
      <c r="E11" s="4"/>
      <c r="F11" s="14"/>
      <c r="G11" s="14"/>
      <c r="H11" s="14"/>
      <c r="I11" s="14"/>
      <c r="J11" s="4"/>
      <c r="K11" s="14"/>
      <c r="M11" s="14"/>
      <c r="N11" s="14"/>
      <c r="O11" s="14"/>
      <c r="P11" s="17"/>
      <c r="Q11" s="14"/>
      <c r="R11" s="14"/>
    </row>
    <row r="12" spans="1:255" x14ac:dyDescent="0.2">
      <c r="A12" s="16"/>
      <c r="B12" s="22"/>
      <c r="C12" s="16" t="s">
        <v>392</v>
      </c>
      <c r="D12" s="4">
        <v>2737.36</v>
      </c>
      <c r="E12" s="4"/>
      <c r="F12" s="14"/>
      <c r="G12" s="14"/>
      <c r="H12" s="14"/>
      <c r="I12" s="14"/>
      <c r="J12" s="4"/>
      <c r="K12" s="14"/>
      <c r="M12" s="14"/>
      <c r="N12" s="14"/>
      <c r="O12" s="14"/>
      <c r="P12" s="17"/>
      <c r="Q12" s="14"/>
      <c r="R12" s="14"/>
    </row>
    <row r="13" spans="1:255" x14ac:dyDescent="0.2">
      <c r="A13" s="16" t="s">
        <v>534</v>
      </c>
      <c r="B13" s="22"/>
      <c r="C13" s="93" t="s">
        <v>535</v>
      </c>
      <c r="D13" s="94"/>
      <c r="E13" s="94"/>
      <c r="F13" s="24"/>
      <c r="G13" s="24"/>
      <c r="H13" s="24"/>
      <c r="I13" s="95"/>
      <c r="J13" s="94"/>
      <c r="K13" s="24"/>
      <c r="L13" s="24"/>
      <c r="M13" s="24"/>
      <c r="N13" s="24"/>
      <c r="O13" s="24"/>
      <c r="P13" s="96"/>
      <c r="Q13" s="14"/>
      <c r="R13" s="14"/>
    </row>
    <row r="14" spans="1:255" x14ac:dyDescent="0.2">
      <c r="A14" s="16"/>
      <c r="B14" s="16"/>
      <c r="C14" s="16" t="s">
        <v>550</v>
      </c>
      <c r="D14" s="85"/>
      <c r="E14" s="4">
        <f>SUM(D12)</f>
        <v>2737.36</v>
      </c>
      <c r="F14" s="14"/>
      <c r="G14" s="14"/>
      <c r="H14" s="14"/>
      <c r="I14" s="14"/>
      <c r="J14" s="4"/>
      <c r="K14" s="14"/>
      <c r="L14" s="14"/>
      <c r="M14" s="14"/>
      <c r="N14" s="14"/>
      <c r="O14" s="14"/>
      <c r="P14" s="17">
        <f>SUM(E14-L14)</f>
        <v>2737.36</v>
      </c>
      <c r="Q14" s="14"/>
      <c r="R14" s="14"/>
    </row>
    <row r="15" spans="1:255" x14ac:dyDescent="0.2">
      <c r="A15" s="16"/>
      <c r="B15" s="16"/>
      <c r="C15" s="16"/>
      <c r="D15" s="4"/>
      <c r="E15" s="4"/>
      <c r="F15" s="14"/>
      <c r="G15" s="14"/>
      <c r="H15" s="14"/>
      <c r="I15" s="14"/>
      <c r="J15" s="4"/>
      <c r="K15" s="14"/>
      <c r="L15" s="14"/>
      <c r="M15" s="14"/>
      <c r="N15" s="14"/>
      <c r="O15" s="14"/>
      <c r="P15" s="17"/>
      <c r="Q15" s="14"/>
      <c r="R15" s="14"/>
    </row>
    <row r="16" spans="1:255" x14ac:dyDescent="0.2">
      <c r="A16" s="16"/>
      <c r="B16" s="16"/>
      <c r="C16" s="16"/>
      <c r="D16" s="4"/>
      <c r="E16" s="4"/>
      <c r="F16" s="14"/>
      <c r="G16" s="14"/>
      <c r="H16" s="14"/>
      <c r="I16" s="14"/>
      <c r="J16" s="4"/>
      <c r="K16" s="14"/>
      <c r="L16" s="14"/>
      <c r="M16" s="14"/>
      <c r="N16" s="14"/>
      <c r="O16" s="14"/>
      <c r="P16" s="17"/>
      <c r="Q16" s="14"/>
      <c r="R16" s="14"/>
    </row>
    <row r="18" spans="1:255" x14ac:dyDescent="0.2">
      <c r="A18" s="16"/>
      <c r="B18" s="16"/>
      <c r="C18" s="16"/>
      <c r="D18" s="4"/>
      <c r="E18" s="4"/>
      <c r="F18" s="14"/>
      <c r="G18" s="14"/>
      <c r="H18" s="14"/>
      <c r="I18" s="14"/>
      <c r="J18" s="4"/>
      <c r="K18" s="14"/>
      <c r="L18" s="14"/>
      <c r="M18" s="14"/>
      <c r="N18" s="14"/>
      <c r="O18" s="14"/>
      <c r="P18" s="17"/>
      <c r="Q18" s="14"/>
      <c r="R18" s="14"/>
    </row>
    <row r="19" spans="1:255" x14ac:dyDescent="0.2">
      <c r="C19" s="34" t="s">
        <v>718</v>
      </c>
      <c r="H19" s="23">
        <v>24646.77</v>
      </c>
      <c r="M19" s="14"/>
      <c r="P19" s="23">
        <f>SUM(H19:O19)</f>
        <v>24646.77</v>
      </c>
    </row>
    <row r="20" spans="1:255" x14ac:dyDescent="0.2">
      <c r="A20" s="16"/>
      <c r="B20" s="16"/>
      <c r="C20" s="16" t="s">
        <v>481</v>
      </c>
      <c r="D20" s="4">
        <v>2000</v>
      </c>
      <c r="E20" s="4"/>
      <c r="F20" s="14"/>
      <c r="G20" s="14"/>
      <c r="H20" s="14"/>
      <c r="I20" s="14"/>
      <c r="J20" s="4"/>
      <c r="K20" s="14"/>
      <c r="L20" s="14"/>
      <c r="M20" s="14"/>
      <c r="N20" s="14"/>
      <c r="O20" s="14"/>
      <c r="P20" s="17">
        <f>D20+H20-L20</f>
        <v>2000</v>
      </c>
      <c r="Q20" s="14"/>
      <c r="R20" s="14" t="s">
        <v>570</v>
      </c>
    </row>
    <row r="21" spans="1:255" ht="12" thickBot="1" x14ac:dyDescent="0.25">
      <c r="A21" s="16" t="s">
        <v>87</v>
      </c>
      <c r="B21" s="34" t="s">
        <v>88</v>
      </c>
      <c r="C21" s="19" t="s">
        <v>70</v>
      </c>
      <c r="D21" s="25">
        <v>948.08</v>
      </c>
      <c r="E21" s="25"/>
      <c r="F21" s="20"/>
      <c r="G21" s="20"/>
      <c r="H21" s="20"/>
      <c r="I21" s="20"/>
      <c r="J21" s="25"/>
      <c r="K21" s="20"/>
      <c r="L21" s="20"/>
      <c r="M21" s="20"/>
      <c r="N21" s="20"/>
      <c r="O21" s="20"/>
      <c r="P21" s="58">
        <f>D21+I21-L21</f>
        <v>948.08</v>
      </c>
      <c r="Q21" s="20"/>
      <c r="R21" s="14" t="s">
        <v>570</v>
      </c>
    </row>
    <row r="22" spans="1:255" x14ac:dyDescent="0.2">
      <c r="A22" s="23"/>
      <c r="B22" s="23"/>
      <c r="C22" s="26" t="s">
        <v>383</v>
      </c>
      <c r="D22" s="4"/>
      <c r="E22" s="4">
        <f>SUM(D20:D21)</f>
        <v>2948.08</v>
      </c>
      <c r="F22" s="14"/>
      <c r="G22" s="14"/>
      <c r="H22" s="14"/>
      <c r="I22" s="14"/>
      <c r="J22" s="4"/>
      <c r="K22" s="14"/>
      <c r="L22" s="14"/>
      <c r="M22" s="21"/>
      <c r="N22" s="14"/>
      <c r="O22" s="14"/>
      <c r="P22" s="14"/>
      <c r="Q22" s="14">
        <f>SUM(P8:P21)</f>
        <v>42093.14</v>
      </c>
      <c r="R22" s="14"/>
      <c r="S22" s="48"/>
      <c r="T22" s="45"/>
    </row>
    <row r="23" spans="1:255" ht="12" thickBot="1" x14ac:dyDescent="0.25">
      <c r="A23" s="23"/>
      <c r="B23" s="23"/>
      <c r="C23" s="16"/>
      <c r="D23" s="4"/>
      <c r="E23" s="4"/>
      <c r="F23" s="14"/>
      <c r="G23" s="14"/>
      <c r="H23" s="14"/>
      <c r="I23" s="14"/>
      <c r="J23" s="4"/>
      <c r="K23" s="14"/>
      <c r="L23" s="14"/>
      <c r="M23" s="14"/>
      <c r="N23" s="14"/>
      <c r="O23" s="14"/>
      <c r="P23" s="14"/>
      <c r="Q23" s="14"/>
      <c r="R23" s="14"/>
    </row>
    <row r="24" spans="1:255" ht="12" thickBot="1" x14ac:dyDescent="0.25">
      <c r="A24" s="29"/>
      <c r="B24" s="29"/>
      <c r="C24" s="97" t="s">
        <v>413</v>
      </c>
      <c r="D24" s="31"/>
      <c r="E24" s="31"/>
      <c r="F24" s="15"/>
      <c r="G24" s="15"/>
      <c r="H24" s="15"/>
      <c r="I24" s="15"/>
      <c r="J24" s="31"/>
      <c r="K24" s="15"/>
      <c r="L24" s="15"/>
      <c r="M24" s="15"/>
      <c r="N24" s="15"/>
      <c r="O24" s="15"/>
      <c r="P24" s="15"/>
      <c r="Q24" s="15"/>
      <c r="R24" s="15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</row>
    <row r="25" spans="1:255" ht="12" thickBot="1" x14ac:dyDescent="0.25">
      <c r="A25" s="16"/>
      <c r="B25" s="22"/>
      <c r="C25" s="18"/>
      <c r="D25" s="4"/>
      <c r="E25" s="4"/>
      <c r="F25" s="14"/>
      <c r="G25" s="14"/>
      <c r="H25" s="14"/>
      <c r="I25" s="14"/>
      <c r="J25" s="4"/>
      <c r="K25" s="14"/>
      <c r="L25" s="14"/>
      <c r="N25" s="14"/>
      <c r="O25" s="14"/>
      <c r="P25" s="17"/>
      <c r="Q25" s="14"/>
      <c r="R25" s="14"/>
    </row>
    <row r="26" spans="1:255" x14ac:dyDescent="0.2">
      <c r="A26" s="16"/>
      <c r="B26" s="22"/>
      <c r="C26" s="18" t="s">
        <v>587</v>
      </c>
      <c r="D26" s="4">
        <v>224</v>
      </c>
      <c r="E26" s="4"/>
      <c r="F26" s="14"/>
      <c r="G26" s="14"/>
      <c r="H26" s="14">
        <v>383.38</v>
      </c>
      <c r="I26" s="14"/>
      <c r="J26" s="4"/>
      <c r="K26" s="14"/>
      <c r="L26" s="14"/>
      <c r="N26" s="14"/>
      <c r="O26" s="14"/>
      <c r="P26" s="101">
        <f>D26+H26-L26</f>
        <v>607.38</v>
      </c>
      <c r="Q26" s="102"/>
      <c r="R26" s="14"/>
    </row>
    <row r="27" spans="1:255" x14ac:dyDescent="0.2">
      <c r="A27" s="16"/>
      <c r="B27" s="22"/>
      <c r="C27" s="16" t="s">
        <v>423</v>
      </c>
      <c r="D27" s="4">
        <v>0</v>
      </c>
      <c r="E27" s="4"/>
      <c r="F27" s="14"/>
      <c r="G27" s="14"/>
      <c r="H27" s="14"/>
      <c r="I27" s="46"/>
      <c r="J27" s="4"/>
      <c r="K27" s="14"/>
      <c r="M27" s="14"/>
      <c r="N27" s="14"/>
      <c r="O27" s="14"/>
      <c r="P27" s="103"/>
      <c r="Q27" s="63"/>
      <c r="R27" s="14"/>
    </row>
    <row r="28" spans="1:255" x14ac:dyDescent="0.2">
      <c r="A28" s="16"/>
      <c r="B28" s="22"/>
      <c r="C28" s="16"/>
      <c r="D28" s="4"/>
      <c r="E28" s="4"/>
      <c r="F28" s="14"/>
      <c r="G28" s="14"/>
      <c r="H28" s="14"/>
      <c r="I28" s="14"/>
      <c r="J28" s="4"/>
      <c r="K28" s="14"/>
      <c r="L28" s="14"/>
      <c r="M28" s="14"/>
      <c r="N28" s="14"/>
      <c r="O28" s="14"/>
      <c r="P28" s="103"/>
      <c r="Q28" s="63"/>
      <c r="R28" s="14"/>
    </row>
    <row r="29" spans="1:255" ht="11.45" customHeight="1" x14ac:dyDescent="0.2">
      <c r="A29" s="16" t="s">
        <v>503</v>
      </c>
      <c r="B29" s="22" t="s">
        <v>504</v>
      </c>
      <c r="C29" s="16" t="s">
        <v>490</v>
      </c>
      <c r="D29" s="4">
        <v>1806.32</v>
      </c>
      <c r="E29" s="4"/>
      <c r="F29" s="14"/>
      <c r="G29" s="14"/>
      <c r="H29" s="14"/>
      <c r="I29" s="14"/>
      <c r="J29" s="4"/>
      <c r="K29" s="14"/>
      <c r="L29" s="14"/>
      <c r="M29" s="14"/>
      <c r="N29" s="14"/>
      <c r="O29" s="14"/>
      <c r="P29" s="103">
        <f>D29+H29-L29</f>
        <v>1806.32</v>
      </c>
      <c r="Q29" s="63"/>
      <c r="R29" s="14"/>
    </row>
    <row r="30" spans="1:255" ht="11.45" customHeight="1" x14ac:dyDescent="0.2">
      <c r="A30" s="16"/>
      <c r="B30" s="22"/>
      <c r="C30" s="16"/>
      <c r="D30" s="4"/>
      <c r="E30" s="4"/>
      <c r="F30" s="14"/>
      <c r="G30" s="14"/>
      <c r="H30" s="14"/>
      <c r="I30" s="14"/>
      <c r="J30" s="4"/>
      <c r="K30" s="14"/>
      <c r="L30" s="14"/>
      <c r="M30" s="14"/>
      <c r="N30" s="14"/>
      <c r="O30" s="14"/>
      <c r="P30" s="103"/>
      <c r="Q30" s="63"/>
      <c r="R30" s="14"/>
    </row>
    <row r="31" spans="1:255" x14ac:dyDescent="0.2">
      <c r="C31" s="34" t="s">
        <v>596</v>
      </c>
      <c r="D31" s="14">
        <v>65400</v>
      </c>
      <c r="E31" s="14"/>
      <c r="F31" s="14"/>
      <c r="H31" s="14"/>
      <c r="I31" s="14"/>
      <c r="M31" s="14"/>
      <c r="P31" s="103">
        <f>D31+H31-L31</f>
        <v>65400</v>
      </c>
      <c r="Q31" s="67"/>
    </row>
    <row r="32" spans="1:255" x14ac:dyDescent="0.2">
      <c r="C32" s="34" t="s">
        <v>392</v>
      </c>
      <c r="D32" s="14">
        <v>5000</v>
      </c>
      <c r="E32" s="14"/>
      <c r="F32" s="14"/>
      <c r="H32" s="14"/>
      <c r="I32" s="14"/>
      <c r="M32" s="14"/>
      <c r="P32" s="103">
        <f>D32+H32-L32</f>
        <v>5000</v>
      </c>
      <c r="Q32" s="67"/>
    </row>
    <row r="33" spans="1:21" x14ac:dyDescent="0.2">
      <c r="H33" s="14"/>
      <c r="I33" s="14"/>
      <c r="M33" s="14"/>
      <c r="P33" s="68"/>
      <c r="Q33" s="67"/>
    </row>
    <row r="34" spans="1:21" x14ac:dyDescent="0.2">
      <c r="A34" s="16" t="s">
        <v>512</v>
      </c>
      <c r="B34" s="22" t="s">
        <v>513</v>
      </c>
      <c r="C34" s="16" t="s">
        <v>514</v>
      </c>
      <c r="D34" s="4">
        <v>1086.0899999999999</v>
      </c>
      <c r="E34" s="4"/>
      <c r="F34" s="14"/>
      <c r="G34" s="14"/>
      <c r="I34" s="14"/>
      <c r="J34" s="4"/>
      <c r="K34" s="14"/>
      <c r="L34" s="14"/>
      <c r="M34" s="14"/>
      <c r="N34" s="14"/>
      <c r="O34" s="14"/>
      <c r="P34" s="103">
        <f>D34+F34-L34</f>
        <v>1086.0899999999999</v>
      </c>
      <c r="Q34" s="63"/>
      <c r="R34" s="14"/>
    </row>
    <row r="35" spans="1:21" x14ac:dyDescent="0.2">
      <c r="A35" s="16" t="s">
        <v>511</v>
      </c>
      <c r="B35" s="22" t="s">
        <v>506</v>
      </c>
      <c r="C35" s="16" t="s">
        <v>501</v>
      </c>
      <c r="D35" s="4"/>
      <c r="E35" s="4"/>
      <c r="F35" s="14"/>
      <c r="G35" s="14"/>
      <c r="H35" s="14"/>
      <c r="I35" s="14"/>
      <c r="J35" s="4"/>
      <c r="K35" s="14"/>
      <c r="L35" s="14"/>
      <c r="M35" s="14"/>
      <c r="N35" s="46"/>
      <c r="O35" s="14"/>
      <c r="P35" s="103">
        <f>D35+H35+I35-L35+N35</f>
        <v>0</v>
      </c>
      <c r="Q35" s="63"/>
      <c r="R35" s="14"/>
    </row>
    <row r="36" spans="1:21" x14ac:dyDescent="0.2">
      <c r="A36" s="16" t="s">
        <v>81</v>
      </c>
      <c r="B36" s="16" t="s">
        <v>505</v>
      </c>
      <c r="C36" s="16" t="s">
        <v>103</v>
      </c>
      <c r="D36" s="24">
        <v>180.43</v>
      </c>
      <c r="E36" s="24"/>
      <c r="F36" s="14"/>
      <c r="G36" s="14"/>
      <c r="H36" s="14"/>
      <c r="J36" s="14"/>
      <c r="K36" s="14"/>
      <c r="L36" s="14"/>
      <c r="N36" s="14"/>
      <c r="O36" s="14"/>
      <c r="P36" s="103">
        <f>D36+H36-L36</f>
        <v>180.43</v>
      </c>
      <c r="Q36" s="63"/>
      <c r="R36" s="14"/>
    </row>
    <row r="37" spans="1:21" ht="12" thickBot="1" x14ac:dyDescent="0.25">
      <c r="A37" s="16"/>
      <c r="B37" s="22"/>
      <c r="C37" s="16"/>
      <c r="D37" s="4"/>
      <c r="E37" s="4">
        <f>SUM(D26:D36)</f>
        <v>73696.84</v>
      </c>
      <c r="F37" s="24"/>
      <c r="G37" s="14"/>
      <c r="H37" s="14"/>
      <c r="I37" s="14"/>
      <c r="J37" s="4"/>
      <c r="K37" s="14"/>
      <c r="L37" s="14"/>
      <c r="M37" s="14"/>
      <c r="N37" s="14"/>
      <c r="O37" s="14"/>
      <c r="P37" s="104">
        <f>D37+H37-L37</f>
        <v>0</v>
      </c>
      <c r="Q37" s="65"/>
      <c r="R37" s="14"/>
    </row>
    <row r="38" spans="1:21" x14ac:dyDescent="0.2">
      <c r="A38" s="16"/>
      <c r="B38" s="22"/>
      <c r="C38" s="16"/>
      <c r="D38" s="4"/>
      <c r="E38" s="4"/>
      <c r="F38" s="14"/>
      <c r="G38" s="14"/>
      <c r="H38" s="14"/>
      <c r="I38" s="14"/>
      <c r="J38" s="4"/>
      <c r="K38" s="14"/>
      <c r="L38" s="14"/>
      <c r="M38" s="14"/>
      <c r="N38" s="14"/>
      <c r="O38" s="14"/>
      <c r="P38" s="112"/>
      <c r="Q38" s="113">
        <f>SUM(P26:P37)</f>
        <v>74080.219999999987</v>
      </c>
      <c r="R38" s="114">
        <f>Q38</f>
        <v>74080.219999999987</v>
      </c>
    </row>
    <row r="39" spans="1:21" x14ac:dyDescent="0.2">
      <c r="H39" s="14"/>
      <c r="P39" s="68"/>
      <c r="Q39" s="67"/>
    </row>
    <row r="40" spans="1:21" ht="12" thickBot="1" x14ac:dyDescent="0.25">
      <c r="A40" s="16"/>
      <c r="B40" s="22"/>
      <c r="C40" s="16"/>
      <c r="D40" s="4"/>
      <c r="E40" s="4"/>
      <c r="F40" s="14"/>
      <c r="G40" s="14"/>
      <c r="H40" s="14"/>
      <c r="I40" s="14"/>
      <c r="J40" s="4"/>
      <c r="K40" s="14"/>
      <c r="L40" s="14"/>
      <c r="M40" s="14"/>
      <c r="N40" s="14"/>
      <c r="O40" s="14"/>
      <c r="P40" s="105"/>
      <c r="Q40" s="67"/>
    </row>
    <row r="41" spans="1:21" ht="12" thickBot="1" x14ac:dyDescent="0.25">
      <c r="A41" s="16"/>
      <c r="B41" s="22"/>
      <c r="C41" s="97" t="s">
        <v>412</v>
      </c>
      <c r="D41" s="4"/>
      <c r="E41" s="4"/>
      <c r="F41" s="14"/>
      <c r="G41" s="14"/>
      <c r="H41" s="14"/>
      <c r="I41" s="14"/>
      <c r="J41" s="4"/>
      <c r="K41" s="14"/>
      <c r="L41" s="14"/>
      <c r="M41" s="14"/>
      <c r="N41" s="14"/>
      <c r="O41" s="14"/>
      <c r="P41" s="105"/>
      <c r="Q41" s="63"/>
      <c r="R41" s="14"/>
      <c r="U41" s="14"/>
    </row>
    <row r="42" spans="1:21" x14ac:dyDescent="0.2">
      <c r="A42" s="16"/>
      <c r="B42" s="16"/>
      <c r="C42" s="16"/>
      <c r="D42" s="4"/>
      <c r="E42" s="4"/>
      <c r="F42" s="14"/>
      <c r="G42" s="14"/>
      <c r="H42" s="14"/>
      <c r="I42" s="14"/>
      <c r="J42" s="4"/>
      <c r="K42" s="14"/>
      <c r="L42" s="14"/>
      <c r="M42" s="14"/>
      <c r="N42" s="14"/>
      <c r="O42" s="14"/>
      <c r="P42" s="103"/>
      <c r="Q42" s="63"/>
      <c r="R42" s="14"/>
    </row>
    <row r="43" spans="1:21" x14ac:dyDescent="0.2">
      <c r="A43" s="16" t="s">
        <v>556</v>
      </c>
      <c r="B43" s="16"/>
      <c r="C43" s="16" t="s">
        <v>557</v>
      </c>
      <c r="D43" s="4">
        <v>50000</v>
      </c>
      <c r="E43" s="4">
        <v>50000</v>
      </c>
      <c r="F43" s="14"/>
      <c r="G43" s="14"/>
      <c r="H43" s="14"/>
      <c r="I43" s="14"/>
      <c r="J43" s="4"/>
      <c r="K43" s="14"/>
      <c r="L43" s="14"/>
      <c r="M43" s="14"/>
      <c r="N43" s="14"/>
      <c r="O43" s="14"/>
      <c r="P43" s="17">
        <f>D43+H43+I43-L43</f>
        <v>50000</v>
      </c>
      <c r="Q43" s="14"/>
      <c r="R43" s="14" t="s">
        <v>570</v>
      </c>
    </row>
    <row r="44" spans="1:21" x14ac:dyDescent="0.2">
      <c r="H44" s="14"/>
      <c r="P44" s="17"/>
      <c r="Q44" s="67"/>
    </row>
    <row r="45" spans="1:21" x14ac:dyDescent="0.2">
      <c r="A45" s="16" t="s">
        <v>84</v>
      </c>
      <c r="B45" s="16" t="s">
        <v>85</v>
      </c>
      <c r="C45" s="16" t="s">
        <v>83</v>
      </c>
      <c r="D45" s="4">
        <v>9110.19</v>
      </c>
      <c r="E45" s="4"/>
      <c r="F45" s="14"/>
      <c r="G45" s="14"/>
      <c r="H45" s="14">
        <v>3231.84</v>
      </c>
      <c r="I45" s="14"/>
      <c r="J45" s="4"/>
      <c r="K45" s="14"/>
      <c r="L45" s="14"/>
      <c r="M45" s="14"/>
      <c r="N45" s="14"/>
      <c r="O45" s="14"/>
      <c r="P45" s="103">
        <f>D45+H45-L45+N45</f>
        <v>12342.03</v>
      </c>
      <c r="Q45" s="63"/>
      <c r="R45" s="14"/>
    </row>
    <row r="46" spans="1:21" x14ac:dyDescent="0.2">
      <c r="A46" s="16" t="s">
        <v>99</v>
      </c>
      <c r="B46" s="16" t="s">
        <v>77</v>
      </c>
      <c r="C46" s="16" t="s">
        <v>78</v>
      </c>
      <c r="D46" s="4">
        <v>3688.48</v>
      </c>
      <c r="E46" s="4"/>
      <c r="F46" s="14"/>
      <c r="G46" s="14"/>
      <c r="H46" s="14"/>
      <c r="I46" s="14"/>
      <c r="J46" s="4"/>
      <c r="K46" s="14"/>
      <c r="L46" s="14">
        <v>80</v>
      </c>
      <c r="M46" s="14"/>
      <c r="N46" s="14"/>
      <c r="O46" s="14"/>
      <c r="P46" s="103">
        <f>D46+H46-L46</f>
        <v>3608.48</v>
      </c>
      <c r="Q46" s="63"/>
      <c r="R46" s="14"/>
    </row>
    <row r="47" spans="1:21" x14ac:dyDescent="0.2">
      <c r="A47" s="16" t="s">
        <v>509</v>
      </c>
      <c r="B47" s="16"/>
      <c r="C47" s="16" t="s">
        <v>491</v>
      </c>
      <c r="D47" s="4">
        <v>119</v>
      </c>
      <c r="E47" s="4"/>
      <c r="F47" s="14"/>
      <c r="G47" s="14"/>
      <c r="H47" s="14"/>
      <c r="I47" s="14"/>
      <c r="J47" s="4"/>
      <c r="K47" s="14"/>
      <c r="L47" s="14"/>
      <c r="M47" s="14"/>
      <c r="N47" s="14"/>
      <c r="O47" s="14"/>
      <c r="P47" s="103">
        <f>D47+H47-L47</f>
        <v>119</v>
      </c>
      <c r="Q47" s="63"/>
      <c r="R47" s="14"/>
    </row>
    <row r="48" spans="1:21" x14ac:dyDescent="0.2">
      <c r="A48" s="16" t="s">
        <v>650</v>
      </c>
      <c r="B48" s="16"/>
      <c r="C48" s="16" t="s">
        <v>651</v>
      </c>
      <c r="D48" s="4"/>
      <c r="E48" s="4"/>
      <c r="F48" s="14"/>
      <c r="G48" s="14"/>
      <c r="H48" s="14"/>
      <c r="I48" s="14"/>
      <c r="J48" s="4"/>
      <c r="K48" s="14"/>
      <c r="L48" s="14"/>
      <c r="M48" s="14"/>
      <c r="N48" s="14"/>
      <c r="O48" s="14"/>
      <c r="P48" s="103"/>
      <c r="Q48" s="63"/>
      <c r="R48" s="14"/>
    </row>
    <row r="49" spans="1:21" x14ac:dyDescent="0.2">
      <c r="A49" s="16" t="s">
        <v>101</v>
      </c>
      <c r="B49" s="16" t="s">
        <v>79</v>
      </c>
      <c r="C49" s="16" t="s">
        <v>410</v>
      </c>
      <c r="D49" s="4">
        <v>5575.67</v>
      </c>
      <c r="E49" s="4"/>
      <c r="F49" s="14"/>
      <c r="G49" s="14"/>
      <c r="H49" s="14"/>
      <c r="I49" s="14"/>
      <c r="J49" s="4"/>
      <c r="K49" s="14"/>
      <c r="L49" s="14"/>
      <c r="M49" s="14"/>
      <c r="N49" s="14"/>
      <c r="O49" s="14"/>
      <c r="P49" s="103">
        <f>D49+H49-L49</f>
        <v>5575.67</v>
      </c>
      <c r="Q49" s="63"/>
      <c r="R49" s="14"/>
    </row>
    <row r="50" spans="1:21" ht="12" thickBot="1" x14ac:dyDescent="0.25">
      <c r="A50" s="16" t="s">
        <v>76</v>
      </c>
      <c r="B50" s="16" t="s">
        <v>77</v>
      </c>
      <c r="C50" s="16" t="s">
        <v>452</v>
      </c>
      <c r="D50" s="25">
        <v>7625.26</v>
      </c>
      <c r="E50" s="25"/>
      <c r="F50" s="14"/>
      <c r="G50" s="14"/>
      <c r="H50" s="14"/>
      <c r="I50" s="14"/>
      <c r="J50" s="4"/>
      <c r="K50" s="14"/>
      <c r="L50" s="14"/>
      <c r="M50" s="14"/>
      <c r="N50" s="14"/>
      <c r="O50" s="14"/>
      <c r="P50" s="103">
        <f>D50+H50-L50</f>
        <v>7625.26</v>
      </c>
      <c r="Q50" s="63"/>
      <c r="R50" s="14"/>
    </row>
    <row r="51" spans="1:21" x14ac:dyDescent="0.2">
      <c r="E51" s="14">
        <f>SUM(D45:D50)</f>
        <v>26118.6</v>
      </c>
      <c r="F51" s="14"/>
      <c r="H51" s="14"/>
      <c r="P51" s="68"/>
      <c r="Q51" s="67"/>
    </row>
    <row r="52" spans="1:21" x14ac:dyDescent="0.2">
      <c r="A52" s="16" t="s">
        <v>82</v>
      </c>
      <c r="B52" s="16" t="s">
        <v>478</v>
      </c>
      <c r="C52" s="16" t="s">
        <v>97</v>
      </c>
      <c r="D52" s="4"/>
      <c r="E52" s="4"/>
      <c r="F52" s="14"/>
      <c r="G52" s="14"/>
      <c r="H52" s="14"/>
      <c r="I52" s="14"/>
      <c r="J52" s="4"/>
      <c r="K52" s="14"/>
      <c r="L52" s="14"/>
      <c r="M52" s="14"/>
      <c r="N52" s="14"/>
      <c r="O52" s="14"/>
      <c r="P52" s="103">
        <f>D52+H52-L52</f>
        <v>0</v>
      </c>
      <c r="Q52" s="63"/>
      <c r="R52" s="14"/>
    </row>
    <row r="53" spans="1:21" x14ac:dyDescent="0.2">
      <c r="A53" s="16" t="s">
        <v>71</v>
      </c>
      <c r="B53" s="16" t="s">
        <v>72</v>
      </c>
      <c r="C53" s="16" t="s">
        <v>73</v>
      </c>
      <c r="D53" s="14">
        <v>10875.96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03">
        <f>D53+H53-L53</f>
        <v>10875.96</v>
      </c>
      <c r="Q53" s="63"/>
      <c r="R53" s="14"/>
    </row>
    <row r="54" spans="1:21" x14ac:dyDescent="0.2">
      <c r="A54" s="16" t="s">
        <v>74</v>
      </c>
      <c r="B54" s="16" t="s">
        <v>75</v>
      </c>
      <c r="C54" s="16" t="s">
        <v>102</v>
      </c>
      <c r="D54" s="4">
        <v>1200.28</v>
      </c>
      <c r="E54" s="4"/>
      <c r="F54" s="14"/>
      <c r="G54" s="14"/>
      <c r="H54" s="14"/>
      <c r="I54" s="14"/>
      <c r="J54" s="4"/>
      <c r="K54" s="14"/>
      <c r="L54" s="14"/>
      <c r="M54" s="14"/>
      <c r="N54" s="14"/>
      <c r="O54" s="14"/>
      <c r="P54" s="103">
        <f>D54+H54-L54</f>
        <v>1200.28</v>
      </c>
      <c r="Q54" s="63"/>
      <c r="R54" s="14"/>
    </row>
    <row r="55" spans="1:21" x14ac:dyDescent="0.2">
      <c r="A55" s="16" t="s">
        <v>508</v>
      </c>
      <c r="B55" s="16" t="s">
        <v>507</v>
      </c>
      <c r="C55" s="16" t="s">
        <v>80</v>
      </c>
      <c r="D55" s="4">
        <v>2631.45</v>
      </c>
      <c r="E55" s="4"/>
      <c r="F55" s="14"/>
      <c r="G55" s="14"/>
      <c r="H55" s="14"/>
      <c r="I55" s="14"/>
      <c r="J55" s="4"/>
      <c r="K55" s="14"/>
      <c r="L55" s="14"/>
      <c r="M55" s="14"/>
      <c r="N55" s="14"/>
      <c r="O55" s="14"/>
      <c r="P55" s="103">
        <f>D55+H55-L55</f>
        <v>2631.45</v>
      </c>
      <c r="Q55" s="63"/>
      <c r="R55" s="14"/>
    </row>
    <row r="56" spans="1:21" x14ac:dyDescent="0.2">
      <c r="H56" s="14"/>
      <c r="P56" s="68"/>
      <c r="Q56" s="67"/>
    </row>
    <row r="57" spans="1:21" x14ac:dyDescent="0.2">
      <c r="A57" s="16" t="s">
        <v>508</v>
      </c>
      <c r="B57" s="16"/>
      <c r="C57" s="16" t="s">
        <v>100</v>
      </c>
      <c r="D57" s="4">
        <v>335.93000000000029</v>
      </c>
      <c r="E57" s="4"/>
      <c r="F57" s="14"/>
      <c r="G57" s="14"/>
      <c r="H57" s="14"/>
      <c r="I57" s="14"/>
      <c r="J57" s="4"/>
      <c r="K57" s="14"/>
      <c r="L57" s="14"/>
      <c r="M57" s="14"/>
      <c r="N57" s="14"/>
      <c r="O57" s="14"/>
      <c r="P57" s="103">
        <f>D57+H57-L57</f>
        <v>335.93000000000029</v>
      </c>
      <c r="Q57" s="63"/>
      <c r="R57" s="14"/>
    </row>
    <row r="58" spans="1:21" ht="12" thickBot="1" x14ac:dyDescent="0.25">
      <c r="A58" s="16" t="s">
        <v>510</v>
      </c>
      <c r="B58" s="16"/>
      <c r="C58" s="16" t="s">
        <v>98</v>
      </c>
      <c r="D58" s="25">
        <v>1342.15</v>
      </c>
      <c r="E58" s="25"/>
      <c r="F58" s="14"/>
      <c r="G58" s="14"/>
      <c r="H58" s="14"/>
      <c r="I58" s="14"/>
      <c r="J58" s="4"/>
      <c r="K58" s="14"/>
      <c r="L58" s="14">
        <v>1342.15</v>
      </c>
      <c r="M58" s="14"/>
      <c r="N58" s="14"/>
      <c r="O58" s="14"/>
      <c r="P58" s="103">
        <f>D58+H58-L58</f>
        <v>0</v>
      </c>
      <c r="Q58" s="63">
        <f>SUM(P42:P58)</f>
        <v>94314.06</v>
      </c>
      <c r="R58" s="14">
        <f>Q58</f>
        <v>94314.06</v>
      </c>
      <c r="U58" s="14">
        <f>SUM(R27:R58)</f>
        <v>168394.27999999997</v>
      </c>
    </row>
    <row r="59" spans="1:21" ht="12" thickBot="1" x14ac:dyDescent="0.25">
      <c r="E59" s="14">
        <f>SUM(D53:D58)</f>
        <v>16385.77</v>
      </c>
      <c r="F59" s="14"/>
      <c r="H59" s="14"/>
      <c r="P59" s="106"/>
      <c r="Q59" s="88"/>
    </row>
    <row r="60" spans="1:21" x14ac:dyDescent="0.2">
      <c r="A60" s="16"/>
      <c r="B60" s="16"/>
      <c r="C60" s="16"/>
      <c r="D60" s="4"/>
      <c r="E60" s="4"/>
      <c r="F60" s="14"/>
      <c r="G60" s="14"/>
      <c r="H60" s="14"/>
      <c r="I60" s="14"/>
      <c r="J60" s="4"/>
      <c r="K60" s="14"/>
      <c r="L60" s="14"/>
      <c r="M60" s="14"/>
      <c r="N60" s="14"/>
      <c r="O60" s="14"/>
      <c r="P60" s="17">
        <f>D60+F60-K60-M60</f>
        <v>0</v>
      </c>
      <c r="Q60" s="14"/>
      <c r="R60" s="14"/>
    </row>
    <row r="61" spans="1:21" x14ac:dyDescent="0.2">
      <c r="A61" s="16"/>
      <c r="B61" s="16"/>
      <c r="C61" s="16"/>
      <c r="D61" s="4"/>
      <c r="E61" s="4"/>
      <c r="F61" s="14"/>
      <c r="G61" s="14"/>
      <c r="H61" s="14"/>
      <c r="I61" s="14"/>
      <c r="J61" s="4"/>
      <c r="K61" s="14"/>
      <c r="L61" s="14"/>
      <c r="M61" s="14"/>
      <c r="N61" s="14"/>
      <c r="O61" s="14"/>
      <c r="P61" s="17"/>
      <c r="Q61" s="14"/>
      <c r="R61" s="14"/>
    </row>
    <row r="62" spans="1:21" x14ac:dyDescent="0.2">
      <c r="A62" s="16"/>
      <c r="B62" s="16"/>
      <c r="C62" s="16"/>
      <c r="D62" s="4"/>
      <c r="E62" s="4"/>
      <c r="F62" s="14"/>
      <c r="G62" s="14"/>
      <c r="H62" s="14"/>
      <c r="I62" s="14"/>
      <c r="J62" s="4"/>
      <c r="K62" s="14"/>
      <c r="L62" s="14"/>
      <c r="M62" s="14"/>
      <c r="N62" s="14"/>
      <c r="O62" s="14"/>
      <c r="P62" s="17"/>
      <c r="Q62" s="14"/>
      <c r="R62" s="14"/>
    </row>
    <row r="63" spans="1:21" x14ac:dyDescent="0.2">
      <c r="A63" s="16"/>
      <c r="B63" s="16"/>
      <c r="C63" s="16"/>
      <c r="D63" s="4"/>
      <c r="E63" s="4"/>
      <c r="F63" s="14"/>
      <c r="G63" s="14"/>
      <c r="H63" s="14"/>
      <c r="I63" s="14"/>
      <c r="J63" s="4"/>
      <c r="K63" s="14"/>
      <c r="L63" s="14"/>
      <c r="M63" s="14"/>
      <c r="N63" s="14"/>
      <c r="O63" s="14"/>
      <c r="P63" s="17"/>
      <c r="Q63" s="14"/>
      <c r="R63" s="14"/>
    </row>
    <row r="64" spans="1:21" x14ac:dyDescent="0.2">
      <c r="A64" s="16"/>
      <c r="B64" s="16"/>
      <c r="C64" s="26"/>
      <c r="D64" s="4"/>
      <c r="E64" s="4"/>
      <c r="F64" s="14"/>
      <c r="G64" s="14"/>
      <c r="H64" s="14"/>
      <c r="I64" s="14"/>
      <c r="J64" s="4"/>
      <c r="K64" s="14"/>
      <c r="L64" s="14"/>
      <c r="M64" s="14"/>
      <c r="N64" s="14"/>
      <c r="O64" s="14"/>
      <c r="P64" s="14"/>
      <c r="Q64" s="14"/>
      <c r="R64" s="14"/>
    </row>
    <row r="65" spans="1:255" ht="12" thickBot="1" x14ac:dyDescent="0.25">
      <c r="A65" s="16"/>
      <c r="B65" s="16"/>
      <c r="C65" s="4" t="s">
        <v>86</v>
      </c>
      <c r="D65" s="25">
        <v>20482.009999999998</v>
      </c>
      <c r="E65" s="25"/>
      <c r="F65" s="14"/>
      <c r="G65" s="14"/>
      <c r="H65" s="14"/>
      <c r="I65" s="14"/>
      <c r="J65" s="4"/>
      <c r="K65" s="14"/>
      <c r="L65" s="14"/>
      <c r="M65" s="14"/>
      <c r="N65" s="14"/>
      <c r="O65" s="14"/>
      <c r="P65" s="17">
        <f>D65+H65-L65</f>
        <v>20482.009999999998</v>
      </c>
      <c r="Q65" s="24">
        <f>P65</f>
        <v>20482.009999999998</v>
      </c>
      <c r="R65" s="24"/>
      <c r="S65" s="54"/>
    </row>
    <row r="66" spans="1:255" ht="12" thickBot="1" x14ac:dyDescent="0.25">
      <c r="A66" s="16"/>
      <c r="B66" s="16"/>
      <c r="C66" s="16"/>
      <c r="D66" s="4"/>
      <c r="E66" s="4">
        <f>D65</f>
        <v>20482.009999999998</v>
      </c>
      <c r="F66" s="24">
        <f>E66</f>
        <v>20482.009999999998</v>
      </c>
      <c r="G66" s="14"/>
      <c r="H66" s="14"/>
      <c r="I66" s="14"/>
      <c r="J66" s="4"/>
      <c r="K66" s="14"/>
      <c r="L66" s="14"/>
      <c r="M66" s="14"/>
      <c r="N66" s="14"/>
      <c r="O66" s="14"/>
      <c r="P66" s="14"/>
      <c r="Q66" s="14"/>
      <c r="R66" s="14"/>
      <c r="S66" s="14">
        <f>SUM(Q38:Q65)</f>
        <v>188876.28999999998</v>
      </c>
    </row>
    <row r="67" spans="1:255" ht="12" thickBot="1" x14ac:dyDescent="0.25">
      <c r="A67" s="16"/>
      <c r="B67" s="16"/>
      <c r="C67" s="16"/>
      <c r="D67" s="4"/>
      <c r="E67" s="28"/>
      <c r="G67" s="14"/>
      <c r="H67" s="14"/>
      <c r="I67" s="14"/>
      <c r="J67" s="4"/>
      <c r="K67" s="14"/>
      <c r="L67" s="14"/>
      <c r="M67" s="14"/>
      <c r="N67" s="14"/>
      <c r="O67" s="14"/>
      <c r="P67" s="14"/>
      <c r="Q67" s="14"/>
      <c r="R67" s="14"/>
      <c r="S67" s="14"/>
    </row>
    <row r="68" spans="1:255" x14ac:dyDescent="0.2">
      <c r="A68" s="16"/>
      <c r="B68" s="16"/>
      <c r="C68" s="16"/>
      <c r="D68" s="4"/>
      <c r="E68" s="4"/>
      <c r="F68" s="14"/>
      <c r="G68" s="14"/>
      <c r="H68" s="14"/>
      <c r="I68" s="14"/>
      <c r="J68" s="4"/>
      <c r="K68" s="14"/>
      <c r="L68" s="14"/>
      <c r="M68" s="14"/>
      <c r="N68" s="14"/>
      <c r="O68" s="14"/>
      <c r="P68" s="14"/>
      <c r="Q68" s="14"/>
      <c r="R68" s="14"/>
      <c r="S68" s="14"/>
    </row>
    <row r="69" spans="1:255" x14ac:dyDescent="0.2">
      <c r="A69" s="16"/>
      <c r="B69" s="16"/>
      <c r="C69" s="16" t="s">
        <v>384</v>
      </c>
      <c r="D69" s="4">
        <v>65537.53</v>
      </c>
      <c r="E69" s="4"/>
      <c r="F69" s="14"/>
      <c r="G69" s="14"/>
      <c r="H69" s="14"/>
      <c r="I69" s="14"/>
      <c r="J69" s="4"/>
      <c r="K69" s="14"/>
      <c r="L69" s="14"/>
      <c r="M69" s="14"/>
      <c r="N69" s="14"/>
      <c r="O69" s="14"/>
      <c r="P69" s="17">
        <f>D69+H69-L69</f>
        <v>65537.53</v>
      </c>
      <c r="Q69" s="14"/>
      <c r="R69" s="14"/>
    </row>
    <row r="70" spans="1:255" ht="12" thickBot="1" x14ac:dyDescent="0.25">
      <c r="A70" s="16"/>
      <c r="B70" s="16"/>
      <c r="C70" s="16" t="s">
        <v>385</v>
      </c>
      <c r="D70" s="25">
        <v>505</v>
      </c>
      <c r="E70" s="25"/>
      <c r="F70" s="14"/>
      <c r="G70" s="14"/>
      <c r="H70" s="14"/>
      <c r="I70" s="14"/>
      <c r="J70" s="4"/>
      <c r="K70" s="14"/>
      <c r="L70" s="14"/>
      <c r="M70" s="14"/>
      <c r="N70" s="14"/>
      <c r="O70" s="14"/>
      <c r="P70" s="17">
        <f>D70+H70-L70</f>
        <v>505</v>
      </c>
      <c r="Q70" s="24"/>
      <c r="R70" s="14"/>
    </row>
    <row r="71" spans="1:255" ht="12" thickBot="1" x14ac:dyDescent="0.25">
      <c r="A71" s="16"/>
      <c r="B71" s="16"/>
      <c r="C71" s="16"/>
      <c r="D71" s="4"/>
      <c r="E71" s="4">
        <f>SUM(D69:D70)</f>
        <v>66042.53</v>
      </c>
      <c r="F71" s="14"/>
      <c r="G71" s="14"/>
      <c r="H71" s="14"/>
      <c r="I71" s="14"/>
      <c r="J71" s="4"/>
      <c r="K71" s="14"/>
      <c r="L71" s="14"/>
      <c r="M71" s="14"/>
      <c r="N71" s="14"/>
      <c r="O71" s="14"/>
      <c r="P71" s="14"/>
      <c r="Q71" s="20">
        <f>SUM(P69:P70)</f>
        <v>66042.53</v>
      </c>
      <c r="R71" s="14"/>
    </row>
    <row r="72" spans="1:255" x14ac:dyDescent="0.2">
      <c r="A72" s="16"/>
      <c r="B72" s="16"/>
      <c r="C72" s="16"/>
      <c r="D72" s="4"/>
      <c r="E72" s="4"/>
      <c r="F72" s="14"/>
      <c r="G72" s="14"/>
      <c r="H72" s="14"/>
      <c r="I72" s="14"/>
      <c r="J72" s="4"/>
      <c r="K72" s="14"/>
      <c r="L72" s="14"/>
      <c r="M72" s="14"/>
      <c r="N72" s="14"/>
      <c r="O72" s="14"/>
      <c r="P72" s="14"/>
      <c r="Q72" s="14"/>
      <c r="R72" s="14"/>
      <c r="S72" s="14"/>
    </row>
    <row r="73" spans="1:255" x14ac:dyDescent="0.2">
      <c r="A73" s="16"/>
      <c r="B73" s="16"/>
      <c r="C73" s="16"/>
      <c r="D73" s="4"/>
      <c r="E73" s="4"/>
      <c r="F73" s="14"/>
      <c r="G73" s="14"/>
      <c r="H73" s="14"/>
      <c r="I73" s="14"/>
      <c r="J73" s="4"/>
      <c r="K73" s="14"/>
      <c r="L73" s="14"/>
      <c r="M73" s="14"/>
      <c r="N73" s="14"/>
      <c r="O73" s="14"/>
      <c r="P73" s="14"/>
      <c r="Q73" s="14"/>
      <c r="R73" s="14"/>
    </row>
    <row r="74" spans="1:255" x14ac:dyDescent="0.2">
      <c r="A74" s="16"/>
      <c r="B74" s="16"/>
      <c r="C74" s="16" t="s">
        <v>558</v>
      </c>
      <c r="D74" s="4"/>
      <c r="E74" s="4"/>
      <c r="F74" s="14"/>
      <c r="G74" s="14"/>
      <c r="H74" s="14"/>
      <c r="I74" s="14"/>
      <c r="J74" s="4"/>
      <c r="K74" s="14"/>
      <c r="L74" s="14"/>
      <c r="M74" s="14"/>
      <c r="N74" s="14"/>
      <c r="O74" s="14"/>
      <c r="P74" s="14"/>
      <c r="Q74" s="14"/>
      <c r="R74" s="14"/>
    </row>
    <row r="75" spans="1:255" x14ac:dyDescent="0.2">
      <c r="A75" s="23"/>
      <c r="B75" s="23"/>
      <c r="C75" s="16"/>
      <c r="D75" s="4"/>
      <c r="E75" s="4"/>
      <c r="F75" s="14"/>
      <c r="G75" s="14"/>
      <c r="H75" s="14"/>
      <c r="I75" s="14"/>
      <c r="J75" s="4"/>
      <c r="K75" s="14"/>
      <c r="L75" s="14"/>
      <c r="M75" s="14"/>
      <c r="N75" s="14"/>
      <c r="O75" s="14"/>
      <c r="P75" s="14"/>
      <c r="Q75" s="14"/>
      <c r="R75" s="14"/>
    </row>
    <row r="76" spans="1:255" x14ac:dyDescent="0.2">
      <c r="A76" s="29"/>
      <c r="B76" s="29"/>
      <c r="C76" s="30" t="s">
        <v>89</v>
      </c>
      <c r="D76" s="31"/>
      <c r="E76" s="31"/>
      <c r="F76" s="15"/>
      <c r="G76" s="15"/>
      <c r="H76" s="15"/>
      <c r="I76" s="15"/>
      <c r="J76" s="31"/>
      <c r="K76" s="15"/>
      <c r="L76" s="15"/>
      <c r="M76" s="15"/>
      <c r="N76" s="15"/>
      <c r="O76" s="15"/>
      <c r="P76" s="15"/>
      <c r="Q76" s="15"/>
      <c r="R76" s="15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29"/>
      <c r="HQ76" s="29"/>
      <c r="HR76" s="29"/>
      <c r="HS76" s="29"/>
      <c r="HT76" s="29"/>
      <c r="HU76" s="29"/>
      <c r="HV76" s="29"/>
      <c r="HW76" s="29"/>
      <c r="HX76" s="29"/>
      <c r="HY76" s="29"/>
      <c r="HZ76" s="29"/>
      <c r="IA76" s="29"/>
      <c r="IB76" s="29"/>
      <c r="IC76" s="29"/>
      <c r="ID76" s="29"/>
      <c r="IE76" s="29"/>
      <c r="IF76" s="29"/>
      <c r="IG76" s="29"/>
      <c r="IH76" s="29"/>
      <c r="II76" s="29"/>
      <c r="IJ76" s="29"/>
      <c r="IK76" s="29"/>
      <c r="IL76" s="29"/>
      <c r="IM76" s="29"/>
      <c r="IN76" s="29"/>
      <c r="IO76" s="29"/>
      <c r="IP76" s="29"/>
      <c r="IQ76" s="29"/>
      <c r="IR76" s="29"/>
      <c r="IS76" s="29"/>
      <c r="IT76" s="29"/>
      <c r="IU76" s="29"/>
    </row>
    <row r="77" spans="1:255" x14ac:dyDescent="0.2">
      <c r="A77" s="16"/>
      <c r="B77" s="22"/>
      <c r="C77" s="16" t="s">
        <v>90</v>
      </c>
      <c r="D77" s="4">
        <v>52957.62</v>
      </c>
      <c r="E77" s="4"/>
      <c r="F77" s="14"/>
      <c r="G77" s="14"/>
      <c r="H77" s="14"/>
      <c r="I77" s="14"/>
      <c r="J77" s="4"/>
      <c r="K77" s="14"/>
      <c r="L77" s="14"/>
      <c r="M77" s="14"/>
      <c r="N77" s="14"/>
      <c r="O77" s="14"/>
      <c r="P77" s="14">
        <f>SUM(D77:N77)</f>
        <v>52957.62</v>
      </c>
      <c r="Q77" s="14"/>
      <c r="R77" s="14"/>
    </row>
    <row r="78" spans="1:255" x14ac:dyDescent="0.2">
      <c r="A78" s="16"/>
      <c r="B78" s="22" t="s">
        <v>91</v>
      </c>
      <c r="C78" s="16" t="s">
        <v>92</v>
      </c>
      <c r="D78" s="4">
        <v>26800</v>
      </c>
      <c r="E78" s="4">
        <f>SUM(D77:D78)</f>
        <v>79757.62</v>
      </c>
      <c r="F78" s="14"/>
      <c r="G78" s="14"/>
      <c r="H78" s="14"/>
      <c r="I78" s="14"/>
      <c r="J78" s="4"/>
      <c r="K78" s="14"/>
      <c r="L78" s="14"/>
      <c r="M78" s="14"/>
      <c r="O78" s="14"/>
      <c r="P78" s="14">
        <f>D78+H78</f>
        <v>26800</v>
      </c>
      <c r="Q78" s="14">
        <f>SUM(P77:P78)</f>
        <v>79757.62</v>
      </c>
      <c r="R78" s="14"/>
    </row>
    <row r="79" spans="1:255" ht="12" thickBot="1" x14ac:dyDescent="0.25">
      <c r="A79" s="16"/>
      <c r="B79" s="16"/>
      <c r="C79" s="16"/>
      <c r="D79" s="4"/>
      <c r="E79" s="4"/>
      <c r="F79" s="14"/>
      <c r="G79" s="14"/>
      <c r="H79" s="14"/>
      <c r="I79" s="14"/>
      <c r="J79" s="4"/>
      <c r="K79" s="14"/>
      <c r="L79" s="14"/>
      <c r="M79" s="14"/>
      <c r="N79" s="14"/>
      <c r="O79" s="14"/>
      <c r="P79" s="14"/>
      <c r="Q79" s="14"/>
      <c r="R79" s="14"/>
    </row>
    <row r="80" spans="1:255" ht="12" thickBot="1" x14ac:dyDescent="0.25">
      <c r="A80" s="16"/>
      <c r="B80" s="16" t="s">
        <v>93</v>
      </c>
      <c r="C80" s="16"/>
      <c r="D80" s="32">
        <f>SUM(D5:D79)</f>
        <v>349929.74</v>
      </c>
      <c r="E80" s="32">
        <f>SUM(E6:E79)</f>
        <v>349929.74</v>
      </c>
      <c r="F80" s="14">
        <f>SUM(F59:F66)</f>
        <v>20482.009999999998</v>
      </c>
      <c r="G80" s="47"/>
      <c r="H80" s="32">
        <f>SUM(H11:H79)</f>
        <v>28261.99</v>
      </c>
      <c r="I80" s="32"/>
      <c r="J80" s="32"/>
      <c r="K80" s="47">
        <f>SUM(K18:K79)</f>
        <v>0</v>
      </c>
      <c r="L80" s="47">
        <f>SUM(L14:L76)</f>
        <v>1422.15</v>
      </c>
      <c r="M80" s="32"/>
      <c r="N80" s="32">
        <f>SUM(N5:N79)</f>
        <v>0</v>
      </c>
      <c r="O80" s="32"/>
      <c r="P80" s="32">
        <f>SUM(P6:P78)</f>
        <v>376769.58</v>
      </c>
      <c r="Q80" s="32"/>
      <c r="R80" s="4"/>
    </row>
    <row r="81" spans="1:18" x14ac:dyDescent="0.2">
      <c r="A81" s="27"/>
      <c r="B81" s="27"/>
      <c r="C81" s="27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x14ac:dyDescent="0.2">
      <c r="A82" s="27"/>
      <c r="B82" s="27"/>
      <c r="C82" s="27"/>
      <c r="D82" s="14"/>
      <c r="E82" s="14"/>
      <c r="F82" s="14"/>
      <c r="G82" s="14"/>
      <c r="H82" s="14">
        <f>SUM(H80)</f>
        <v>28261.99</v>
      </c>
      <c r="I82" s="14"/>
      <c r="J82" s="14"/>
      <c r="K82" s="14"/>
      <c r="L82" s="46">
        <f>SUM(K80:L80)</f>
        <v>1422.15</v>
      </c>
      <c r="N82" s="14"/>
      <c r="O82" s="14"/>
      <c r="P82" s="14"/>
      <c r="Q82" s="14"/>
      <c r="R82" s="14"/>
    </row>
    <row r="83" spans="1:18" x14ac:dyDescent="0.2">
      <c r="A83" s="27"/>
      <c r="B83" s="27"/>
      <c r="C83" s="27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</row>
    <row r="84" spans="1:18" ht="0.6" customHeight="1" x14ac:dyDescent="0.2"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</row>
    <row r="85" spans="1:18" x14ac:dyDescent="0.2">
      <c r="C85" s="23"/>
      <c r="H85" s="14"/>
      <c r="K85" s="14"/>
      <c r="L85" s="14">
        <v>0</v>
      </c>
      <c r="M85" s="14"/>
    </row>
    <row r="86" spans="1:18" x14ac:dyDescent="0.2">
      <c r="C86" s="23"/>
      <c r="E86" s="14"/>
      <c r="F86" s="14"/>
      <c r="H86" s="14"/>
    </row>
    <row r="87" spans="1:18" x14ac:dyDescent="0.2">
      <c r="C87" s="23"/>
      <c r="E87" s="59"/>
      <c r="F87" s="53"/>
      <c r="G87" s="53"/>
      <c r="H87" s="59"/>
      <c r="I87" s="27"/>
      <c r="J87" s="27"/>
      <c r="K87" s="27"/>
      <c r="L87" s="53"/>
      <c r="M87" s="27"/>
      <c r="N87" s="27"/>
      <c r="O87" s="27"/>
      <c r="P87" s="27"/>
    </row>
    <row r="88" spans="1:18" x14ac:dyDescent="0.2">
      <c r="C88" s="23"/>
      <c r="E88" s="14"/>
      <c r="F88" s="14"/>
      <c r="H88" s="14"/>
    </row>
    <row r="89" spans="1:18" x14ac:dyDescent="0.2">
      <c r="C89" s="23"/>
      <c r="E89" s="14"/>
      <c r="F89" s="14"/>
      <c r="H89" s="14"/>
    </row>
    <row r="90" spans="1:18" x14ac:dyDescent="0.2">
      <c r="C90" s="23"/>
      <c r="E90" s="14"/>
      <c r="F90" s="14"/>
      <c r="H90" s="14"/>
    </row>
    <row r="91" spans="1:18" x14ac:dyDescent="0.2">
      <c r="C91" s="23"/>
      <c r="E91" s="14"/>
      <c r="F91" s="14"/>
      <c r="H91" s="14"/>
    </row>
    <row r="92" spans="1:18" x14ac:dyDescent="0.2">
      <c r="C92" s="23"/>
      <c r="E92" s="14"/>
      <c r="F92" s="14"/>
      <c r="H92" s="14"/>
    </row>
    <row r="93" spans="1:18" x14ac:dyDescent="0.2">
      <c r="C93" s="23"/>
      <c r="E93" s="14"/>
      <c r="F93" s="14"/>
      <c r="H93" s="14"/>
    </row>
    <row r="94" spans="1:18" x14ac:dyDescent="0.2">
      <c r="C94" s="23"/>
      <c r="E94" s="14"/>
      <c r="F94" s="14"/>
      <c r="H94" s="14"/>
    </row>
    <row r="95" spans="1:18" x14ac:dyDescent="0.2">
      <c r="C95" s="23"/>
      <c r="E95" s="14"/>
      <c r="F95" s="14"/>
      <c r="H95" s="14"/>
    </row>
    <row r="96" spans="1:18" x14ac:dyDescent="0.2">
      <c r="C96" s="23"/>
      <c r="E96" s="14"/>
      <c r="F96" s="14"/>
      <c r="H96" s="14"/>
    </row>
    <row r="97" spans="3:8" x14ac:dyDescent="0.2">
      <c r="C97" s="23"/>
      <c r="E97" s="14"/>
      <c r="F97" s="14"/>
      <c r="H97" s="14"/>
    </row>
    <row r="98" spans="3:8" x14ac:dyDescent="0.2">
      <c r="C98" s="23"/>
      <c r="E98" s="14"/>
      <c r="F98" s="14"/>
      <c r="H98" s="14"/>
    </row>
    <row r="99" spans="3:8" x14ac:dyDescent="0.2">
      <c r="C99" s="23"/>
      <c r="E99" s="14"/>
      <c r="F99" s="14"/>
      <c r="H99" s="14"/>
    </row>
    <row r="100" spans="3:8" x14ac:dyDescent="0.2">
      <c r="C100" s="23"/>
      <c r="E100" s="14"/>
      <c r="F100" s="14"/>
      <c r="H100" s="14"/>
    </row>
    <row r="101" spans="3:8" x14ac:dyDescent="0.2">
      <c r="C101" s="23"/>
      <c r="E101" s="14"/>
      <c r="F101" s="14"/>
      <c r="H101" s="14"/>
    </row>
    <row r="102" spans="3:8" x14ac:dyDescent="0.2">
      <c r="C102" s="23"/>
      <c r="E102" s="14"/>
      <c r="F102" s="14"/>
      <c r="H102" s="14"/>
    </row>
    <row r="103" spans="3:8" x14ac:dyDescent="0.2">
      <c r="C103" s="23"/>
      <c r="E103" s="14"/>
      <c r="F103" s="14"/>
      <c r="H103" s="14"/>
    </row>
    <row r="104" spans="3:8" x14ac:dyDescent="0.2">
      <c r="C104" s="23"/>
      <c r="E104" s="14"/>
      <c r="F104" s="14"/>
      <c r="H104" s="14"/>
    </row>
    <row r="105" spans="3:8" x14ac:dyDescent="0.2">
      <c r="C105" s="23"/>
      <c r="E105" s="14"/>
      <c r="F105" s="14"/>
      <c r="H105" s="14"/>
    </row>
    <row r="106" spans="3:8" x14ac:dyDescent="0.2">
      <c r="C106" s="23"/>
      <c r="E106" s="14"/>
      <c r="F106" s="14"/>
      <c r="H106" s="14"/>
    </row>
    <row r="107" spans="3:8" x14ac:dyDescent="0.2">
      <c r="C107" s="23"/>
      <c r="E107" s="14"/>
      <c r="F107" s="14"/>
      <c r="H107" s="14"/>
    </row>
    <row r="108" spans="3:8" x14ac:dyDescent="0.2">
      <c r="C108" s="23"/>
      <c r="E108" s="14"/>
      <c r="F108" s="14"/>
    </row>
    <row r="109" spans="3:8" ht="30.6" customHeight="1" x14ac:dyDescent="0.2">
      <c r="C109" s="23"/>
      <c r="E109" s="14"/>
      <c r="F109" s="14"/>
    </row>
    <row r="110" spans="3:8" x14ac:dyDescent="0.2">
      <c r="C110" s="4"/>
      <c r="D110" s="14"/>
      <c r="E110" s="14"/>
      <c r="F110" s="14"/>
    </row>
    <row r="111" spans="3:8" x14ac:dyDescent="0.2">
      <c r="C111" s="4"/>
      <c r="D111" s="14"/>
      <c r="E111" s="14"/>
      <c r="F111" s="14"/>
    </row>
    <row r="112" spans="3:8" x14ac:dyDescent="0.2">
      <c r="C112" s="4"/>
      <c r="D112" s="14"/>
      <c r="E112" s="14"/>
      <c r="F112" s="14"/>
    </row>
    <row r="113" spans="3:6" x14ac:dyDescent="0.2">
      <c r="C113" s="4"/>
      <c r="D113" s="14"/>
      <c r="E113" s="14"/>
      <c r="F113" s="14"/>
    </row>
  </sheetData>
  <mergeCells count="2">
    <mergeCell ref="F2:H2"/>
    <mergeCell ref="K2:N2"/>
  </mergeCells>
  <pageMargins left="0.7" right="0.7" top="0.75" bottom="0.75" header="0.3" footer="0.3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2"/>
  <sheetViews>
    <sheetView workbookViewId="0"/>
  </sheetViews>
  <sheetFormatPr defaultColWidth="8.85546875" defaultRowHeight="15" x14ac:dyDescent="0.25"/>
  <cols>
    <col min="1" max="1" width="33" customWidth="1"/>
    <col min="2" max="2" width="34.42578125" customWidth="1"/>
    <col min="4" max="4" width="9.7109375" bestFit="1" customWidth="1"/>
  </cols>
  <sheetData>
    <row r="1" spans="1:5" x14ac:dyDescent="0.25">
      <c r="A1" s="60"/>
      <c r="B1" s="61"/>
    </row>
    <row r="2" spans="1:5" ht="15.75" thickBot="1" x14ac:dyDescent="0.3">
      <c r="A2" s="62"/>
      <c r="B2" s="63"/>
    </row>
    <row r="3" spans="1:5" ht="15.75" thickBot="1" x14ac:dyDescent="0.3">
      <c r="A3" s="282" t="s">
        <v>497</v>
      </c>
      <c r="B3" s="283"/>
    </row>
    <row r="4" spans="1:5" x14ac:dyDescent="0.25">
      <c r="A4" s="62"/>
      <c r="B4" s="63"/>
    </row>
    <row r="5" spans="1:5" x14ac:dyDescent="0.25">
      <c r="A5" s="284" t="s">
        <v>493</v>
      </c>
      <c r="B5" s="285"/>
    </row>
    <row r="6" spans="1:5" x14ac:dyDescent="0.25">
      <c r="A6" s="62"/>
      <c r="B6" s="63"/>
    </row>
    <row r="7" spans="1:5" x14ac:dyDescent="0.25">
      <c r="A7" s="64" t="s">
        <v>686</v>
      </c>
      <c r="B7" s="63">
        <v>57127.93</v>
      </c>
    </row>
    <row r="8" spans="1:5" x14ac:dyDescent="0.25">
      <c r="A8" s="62"/>
      <c r="B8" s="63"/>
    </row>
    <row r="9" spans="1:5" x14ac:dyDescent="0.25">
      <c r="A9" s="64" t="s">
        <v>687</v>
      </c>
    </row>
    <row r="10" spans="1:5" x14ac:dyDescent="0.25">
      <c r="A10" s="62"/>
      <c r="B10" s="63"/>
    </row>
    <row r="11" spans="1:5" x14ac:dyDescent="0.25">
      <c r="A11" s="62" t="s">
        <v>494</v>
      </c>
      <c r="B11" s="63"/>
    </row>
    <row r="12" spans="1:5" x14ac:dyDescent="0.25">
      <c r="A12" s="62"/>
      <c r="B12" s="63"/>
    </row>
    <row r="13" spans="1:5" ht="15.75" thickBot="1" x14ac:dyDescent="0.3">
      <c r="A13" s="62" t="s">
        <v>495</v>
      </c>
      <c r="B13" s="65"/>
      <c r="D13" s="1">
        <f>SUM(B11:B13)</f>
        <v>0</v>
      </c>
      <c r="E13" s="1"/>
    </row>
    <row r="14" spans="1:5" x14ac:dyDescent="0.25">
      <c r="A14" s="62"/>
      <c r="B14" s="63"/>
    </row>
    <row r="15" spans="1:5" ht="15.75" thickBot="1" x14ac:dyDescent="0.3">
      <c r="A15" s="82"/>
      <c r="B15" s="66">
        <f>SUM(B7:B13)</f>
        <v>57127.93</v>
      </c>
    </row>
    <row r="16" spans="1:5" ht="15.75" thickTop="1" x14ac:dyDescent="0.25">
      <c r="A16" s="62"/>
      <c r="B16" s="63"/>
    </row>
    <row r="17" spans="1:2" x14ac:dyDescent="0.25">
      <c r="A17" s="62"/>
      <c r="B17" s="63"/>
    </row>
    <row r="18" spans="1:2" x14ac:dyDescent="0.25">
      <c r="A18" s="284" t="s">
        <v>551</v>
      </c>
      <c r="B18" s="285"/>
    </row>
    <row r="19" spans="1:2" x14ac:dyDescent="0.25">
      <c r="A19" s="62"/>
      <c r="B19" s="63"/>
    </row>
    <row r="20" spans="1:2" x14ac:dyDescent="0.25">
      <c r="A20" s="64" t="s">
        <v>688</v>
      </c>
      <c r="B20" s="63">
        <v>61018.87</v>
      </c>
    </row>
    <row r="21" spans="1:2" x14ac:dyDescent="0.25">
      <c r="A21" s="62"/>
      <c r="B21" s="63"/>
    </row>
    <row r="22" spans="1:2" x14ac:dyDescent="0.25">
      <c r="A22" s="64" t="s">
        <v>687</v>
      </c>
      <c r="B22" s="63"/>
    </row>
    <row r="23" spans="1:2" x14ac:dyDescent="0.25">
      <c r="A23" s="64"/>
      <c r="B23" s="63"/>
    </row>
    <row r="24" spans="1:2" x14ac:dyDescent="0.25">
      <c r="A24" s="81" t="s">
        <v>96</v>
      </c>
      <c r="B24" s="63"/>
    </row>
    <row r="25" spans="1:2" x14ac:dyDescent="0.25">
      <c r="A25" s="62"/>
      <c r="B25" s="63"/>
    </row>
    <row r="26" spans="1:2" x14ac:dyDescent="0.25">
      <c r="A26" s="62" t="s">
        <v>494</v>
      </c>
      <c r="B26" s="63"/>
    </row>
    <row r="27" spans="1:2" x14ac:dyDescent="0.25">
      <c r="A27" s="62"/>
      <c r="B27" s="67"/>
    </row>
    <row r="28" spans="1:2" x14ac:dyDescent="0.25">
      <c r="A28" s="62" t="s">
        <v>495</v>
      </c>
      <c r="B28" s="63"/>
    </row>
    <row r="29" spans="1:2" x14ac:dyDescent="0.25">
      <c r="A29" s="62"/>
      <c r="B29" s="63"/>
    </row>
    <row r="30" spans="1:2" ht="15.75" thickBot="1" x14ac:dyDescent="0.3">
      <c r="A30" s="68" t="s">
        <v>496</v>
      </c>
      <c r="B30" s="65"/>
    </row>
    <row r="31" spans="1:2" x14ac:dyDescent="0.25">
      <c r="A31" s="62"/>
      <c r="B31" s="63"/>
    </row>
    <row r="32" spans="1:2" ht="15.75" thickBot="1" x14ac:dyDescent="0.3">
      <c r="A32" s="82"/>
      <c r="B32" s="66">
        <f>SUM(B20:B30)</f>
        <v>61018.87</v>
      </c>
    </row>
    <row r="33" spans="1:4" ht="15.75" thickTop="1" x14ac:dyDescent="0.25">
      <c r="A33" s="62"/>
      <c r="B33" s="63"/>
    </row>
    <row r="34" spans="1:4" x14ac:dyDescent="0.25">
      <c r="A34" s="62"/>
      <c r="B34" s="63"/>
    </row>
    <row r="35" spans="1:4" x14ac:dyDescent="0.25">
      <c r="A35" s="62"/>
      <c r="B35" s="63"/>
    </row>
    <row r="36" spans="1:4" x14ac:dyDescent="0.25">
      <c r="A36" s="284" t="s">
        <v>498</v>
      </c>
      <c r="B36" s="285"/>
    </row>
    <row r="37" spans="1:4" x14ac:dyDescent="0.25">
      <c r="A37" s="62"/>
      <c r="B37" s="63"/>
    </row>
    <row r="38" spans="1:4" x14ac:dyDescent="0.25">
      <c r="A38" s="64" t="s">
        <v>688</v>
      </c>
      <c r="B38" s="63">
        <v>104433.84</v>
      </c>
    </row>
    <row r="39" spans="1:4" x14ac:dyDescent="0.25">
      <c r="A39" s="62"/>
      <c r="B39" s="63"/>
    </row>
    <row r="40" spans="1:4" x14ac:dyDescent="0.25">
      <c r="A40" s="64" t="s">
        <v>687</v>
      </c>
      <c r="B40" s="63"/>
    </row>
    <row r="41" spans="1:4" x14ac:dyDescent="0.25">
      <c r="A41" s="62"/>
    </row>
    <row r="42" spans="1:4" x14ac:dyDescent="0.25">
      <c r="A42" s="62" t="s">
        <v>494</v>
      </c>
      <c r="B42" s="63"/>
    </row>
    <row r="43" spans="1:4" x14ac:dyDescent="0.25">
      <c r="A43" s="62"/>
      <c r="B43" s="67"/>
    </row>
    <row r="44" spans="1:4" x14ac:dyDescent="0.25">
      <c r="A44" s="62" t="s">
        <v>495</v>
      </c>
      <c r="B44" s="63"/>
      <c r="D44" s="1"/>
    </row>
    <row r="45" spans="1:4" x14ac:dyDescent="0.25">
      <c r="A45" s="62"/>
      <c r="B45" s="63"/>
    </row>
    <row r="46" spans="1:4" ht="15.75" thickBot="1" x14ac:dyDescent="0.3">
      <c r="A46" s="68" t="s">
        <v>496</v>
      </c>
      <c r="B46" s="65"/>
    </row>
    <row r="47" spans="1:4" x14ac:dyDescent="0.25">
      <c r="A47" s="62"/>
      <c r="B47" s="63"/>
    </row>
    <row r="48" spans="1:4" ht="15.75" thickBot="1" x14ac:dyDescent="0.3">
      <c r="A48" s="82" t="s">
        <v>642</v>
      </c>
      <c r="B48" s="66">
        <f>SUM(B38:B46)</f>
        <v>104433.84</v>
      </c>
    </row>
    <row r="49" spans="1:2" ht="15.75" thickTop="1" x14ac:dyDescent="0.25">
      <c r="A49" s="62"/>
      <c r="B49" s="63"/>
    </row>
    <row r="50" spans="1:2" ht="15.75" thickBot="1" x14ac:dyDescent="0.3">
      <c r="A50" s="69"/>
      <c r="B50" s="65"/>
    </row>
    <row r="51" spans="1:2" ht="15.75" thickBot="1" x14ac:dyDescent="0.3">
      <c r="A51" s="4"/>
      <c r="B51" s="14"/>
    </row>
    <row r="52" spans="1:2" ht="15.75" thickBot="1" x14ac:dyDescent="0.3">
      <c r="A52" s="280"/>
      <c r="B52" s="281"/>
    </row>
  </sheetData>
  <mergeCells count="5">
    <mergeCell ref="A52:B52"/>
    <mergeCell ref="A3:B3"/>
    <mergeCell ref="A5:B5"/>
    <mergeCell ref="A36:B36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Workbook Directory</vt:lpstr>
      <vt:lpstr>Balance Sheet 1</vt:lpstr>
      <vt:lpstr>P&amp;L Pr YR Comp 2 a</vt:lpstr>
      <vt:lpstr>PL Budget Mission &amp; Opers 3</vt:lpstr>
      <vt:lpstr>Camp YTD Budget  4</vt:lpstr>
      <vt:lpstr>Class Report 5</vt:lpstr>
      <vt:lpstr>Net Assets Summary 6 a</vt:lpstr>
      <vt:lpstr>Net Assets  6b</vt:lpstr>
      <vt:lpstr>New Covenant 7</vt:lpstr>
      <vt:lpstr>AR 2025</vt:lpstr>
      <vt:lpstr>'AR 2025'!Print_Area</vt:lpstr>
      <vt:lpstr>'AR 2025'!Print_Titles</vt:lpstr>
      <vt:lpstr>'Camp YTD Budget  4'!Print_Titles</vt:lpstr>
      <vt:lpstr>'Net Assets  6b'!Print_Titles</vt:lpstr>
      <vt:lpstr>'Net Assets Summary 6 a'!Print_Titles</vt:lpstr>
      <vt:lpstr>'PL Budget Mission &amp; Opers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Bookkeeper</dc:creator>
  <cp:lastModifiedBy>offic</cp:lastModifiedBy>
  <cp:lastPrinted>2024-12-06T16:07:55Z</cp:lastPrinted>
  <dcterms:created xsi:type="dcterms:W3CDTF">2016-03-07T17:13:11Z</dcterms:created>
  <dcterms:modified xsi:type="dcterms:W3CDTF">2025-03-21T16:31:10Z</dcterms:modified>
</cp:coreProperties>
</file>